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560" tabRatio="821" firstSheet="7" activeTab="11"/>
  </bookViews>
  <sheets>
    <sheet name="住宅" sheetId="1" state="hidden" r:id="rId1"/>
    <sheet name="车位" sheetId="2" state="hidden" r:id="rId2"/>
    <sheet name="商业盒子" sheetId="3" state="hidden" r:id="rId3"/>
    <sheet name="商铺" sheetId="10" state="hidden" r:id="rId4"/>
    <sheet name="地下商铺租赁 " sheetId="22" state="hidden" r:id="rId5"/>
    <sheet name="表1-工程及经营费用类" sheetId="20" r:id="rId6"/>
    <sheet name="工程费用 " sheetId="21" state="hidden" r:id="rId7"/>
    <sheet name="表2-金融借贷债权及房贷" sheetId="29" r:id="rId8"/>
    <sheet name="表3-民间借贷及其他债权" sheetId="19" r:id="rId9"/>
    <sheet name="表4-专项资金及村民过渡费" sheetId="30" r:id="rId10"/>
    <sheet name="表5-退房债权 " sheetId="18" r:id="rId11"/>
    <sheet name="表6-税费 " sheetId="23" r:id="rId12"/>
    <sheet name="申报债权统计" sheetId="26" state="hidden" r:id="rId13"/>
    <sheet name="Sheet3" sheetId="27" state="hidden" r:id="rId14"/>
    <sheet name="Sheet4" sheetId="28" state="hidden" r:id="rId15"/>
    <sheet name="统计" sheetId="17" state="hidden" r:id="rId16"/>
    <sheet name="税款明细 " sheetId="24" state="hidden" r:id="rId17"/>
    <sheet name="Sheet1" sheetId="14" state="hidden" r:id="rId18"/>
  </sheets>
  <externalReferences>
    <externalReference r:id="rId20"/>
    <externalReference r:id="rId21"/>
    <externalReference r:id="rId22"/>
  </externalReferences>
  <definedNames>
    <definedName name="_xlnm._FilterDatabase" localSheetId="1" hidden="1">车位!$A$1:$W$70</definedName>
    <definedName name="_xlnm._FilterDatabase" localSheetId="2" hidden="1">商业盒子!$A$1:$BE$1281</definedName>
    <definedName name="_xlnm._FilterDatabase" localSheetId="3" hidden="1">商铺!$A$1:$AL$10</definedName>
    <definedName name="_xlnm._FilterDatabase" localSheetId="4" hidden="1">'地下商铺租赁 '!$A$2:$AJ$33</definedName>
    <definedName name="_xlnm._FilterDatabase" localSheetId="6" hidden="1">'工程费用 '!$A$2:$AT$19</definedName>
    <definedName name="_xlnm._FilterDatabase" localSheetId="14" hidden="1">Sheet4!$A$2:$O$69</definedName>
    <definedName name="_xlnm._FilterDatabase" localSheetId="16" hidden="1">'税款明细 '!$A$1:$K$71</definedName>
    <definedName name="_xlnm._FilterDatabase" localSheetId="5" hidden="1">'表1-工程及经营费用类'!$B$5:$O$63</definedName>
    <definedName name="_xlnm._FilterDatabase" localSheetId="9" hidden="1">'表4-专项资金及村民过渡费'!$B$5:$T$11</definedName>
    <definedName name="_xlnm._FilterDatabase" localSheetId="7" hidden="1">'表2-金融借贷债权及房贷'!$A$5:$W$12</definedName>
    <definedName name="_xlnm._FilterDatabase" localSheetId="10" hidden="1">'表5-退房债权 '!$B$5:$T$79</definedName>
    <definedName name="_xlnm._FilterDatabase" localSheetId="8" hidden="1">'表3-民间借贷及其他债权'!$B$5:$R$191</definedName>
    <definedName name="_xlnm._FilterDatabase" localSheetId="0" hidden="1">住宅!$A$1:$AN$720</definedName>
    <definedName name="_xlnm.Print_Titles" localSheetId="10">'表5-退房债权 '!$4:$5</definedName>
    <definedName name="_xlnm.Print_Titles" localSheetId="5">'表1-工程及经营费用类'!$4:$5</definedName>
    <definedName name="_xlnm.Print_Titles" localSheetId="8">'表3-民间借贷及其他债权'!$4:$5</definedName>
  </definedNames>
  <calcPr calcId="144525"/>
</workbook>
</file>

<file path=xl/comments1.xml><?xml version="1.0" encoding="utf-8"?>
<comments xmlns="http://schemas.openxmlformats.org/spreadsheetml/2006/main">
  <authors>
    <author>全玉霞</author>
    <author>Administrator</author>
    <author>n'k'k</author>
    <author>lenovo</author>
    <author>xbany</author>
    <author>GXN</author>
  </authors>
  <commentList>
    <comment ref="AI1" authorId="0">
      <text>
        <r>
          <rPr>
            <b/>
            <sz val="9"/>
            <rFont val="宋体"/>
            <charset val="134"/>
          </rPr>
          <t>全玉霞:</t>
        </r>
        <r>
          <rPr>
            <sz val="9"/>
            <rFont val="宋体"/>
            <charset val="134"/>
          </rPr>
          <t xml:space="preserve">
当申报金额与核实金额有差异时需详细说明</t>
        </r>
      </text>
    </comment>
    <comment ref="AB6" authorId="0">
      <text>
        <r>
          <rPr>
            <b/>
            <sz val="9"/>
            <rFont val="宋体"/>
            <charset val="134"/>
          </rPr>
          <t>全玉霞:</t>
        </r>
        <r>
          <rPr>
            <sz val="9"/>
            <rFont val="宋体"/>
            <charset val="134"/>
          </rPr>
          <t xml:space="preserve">
深圳市滴滴找房网络科技有限公司</t>
        </r>
      </text>
    </comment>
    <comment ref="AB7" authorId="0">
      <text>
        <r>
          <rPr>
            <sz val="9"/>
            <rFont val="宋体"/>
            <charset val="134"/>
          </rPr>
          <t>入会费+按揭抵押登记费等</t>
        </r>
      </text>
    </comment>
    <comment ref="AH9" authorId="0">
      <text>
        <r>
          <rPr>
            <b/>
            <sz val="9"/>
            <rFont val="宋体"/>
            <charset val="134"/>
          </rPr>
          <t>全玉霞:</t>
        </r>
        <r>
          <rPr>
            <sz val="9"/>
            <rFont val="宋体"/>
            <charset val="134"/>
          </rPr>
          <t xml:space="preserve">
原始预购定价为房地产，后续替换为实业
</t>
        </r>
      </text>
    </comment>
    <comment ref="R23" authorId="1">
      <text>
        <r>
          <rPr>
            <b/>
            <sz val="9"/>
            <rFont val="宋体"/>
            <charset val="134"/>
          </rPr>
          <t>Administrator:</t>
        </r>
        <r>
          <rPr>
            <sz val="9"/>
            <rFont val="宋体"/>
            <charset val="134"/>
          </rPr>
          <t xml:space="preserve">
原始凭证后附说明：已交款333763元，40万元公积金贷款，余款从宋秀丽的工资中扣除</t>
        </r>
      </text>
    </comment>
    <comment ref="AA23" authorId="2">
      <text>
        <r>
          <rPr>
            <b/>
            <sz val="9"/>
            <rFont val="宋体"/>
            <charset val="134"/>
          </rPr>
          <t>n'k'k:</t>
        </r>
        <r>
          <rPr>
            <sz val="9"/>
            <rFont val="宋体"/>
            <charset val="134"/>
          </rPr>
          <t xml:space="preserve">
延期交房违约金</t>
        </r>
      </text>
    </comment>
    <comment ref="AC23" authorId="2">
      <text>
        <r>
          <rPr>
            <b/>
            <sz val="9"/>
            <rFont val="宋体"/>
            <charset val="134"/>
          </rPr>
          <t>n'k'k:</t>
        </r>
        <r>
          <rPr>
            <sz val="9"/>
            <rFont val="宋体"/>
            <charset val="134"/>
          </rPr>
          <t xml:space="preserve">
延期交房违约金</t>
        </r>
      </text>
    </comment>
    <comment ref="AD23" authorId="1">
      <text>
        <r>
          <rPr>
            <b/>
            <sz val="9"/>
            <rFont val="宋体"/>
            <charset val="134"/>
          </rPr>
          <t>Administrator:</t>
        </r>
        <r>
          <rPr>
            <sz val="9"/>
            <rFont val="宋体"/>
            <charset val="134"/>
          </rPr>
          <t xml:space="preserve">
维修基金少申报5000</t>
        </r>
      </text>
    </comment>
    <comment ref="AI23" authorId="2">
      <text>
        <r>
          <rPr>
            <b/>
            <sz val="9"/>
            <rFont val="宋体"/>
            <charset val="134"/>
          </rPr>
          <t>n'k'k:</t>
        </r>
        <r>
          <rPr>
            <sz val="9"/>
            <rFont val="宋体"/>
            <charset val="134"/>
          </rPr>
          <t xml:space="preserve">
维修基金少申报5000</t>
        </r>
      </text>
    </comment>
    <comment ref="AJ23" authorId="2">
      <text>
        <r>
          <rPr>
            <b/>
            <sz val="9"/>
            <rFont val="宋体"/>
            <charset val="134"/>
          </rPr>
          <t>n'k'k:</t>
        </r>
        <r>
          <rPr>
            <sz val="9"/>
            <rFont val="宋体"/>
            <charset val="134"/>
          </rPr>
          <t xml:space="preserve">
154316元为后附白国法签字作为经济补偿的情况说明复印件（无公章）</t>
        </r>
      </text>
    </comment>
    <comment ref="O24" authorId="1">
      <text>
        <r>
          <rPr>
            <b/>
            <sz val="9"/>
            <rFont val="宋体"/>
            <charset val="134"/>
          </rPr>
          <t>Administrator:</t>
        </r>
        <r>
          <rPr>
            <sz val="9"/>
            <rFont val="宋体"/>
            <charset val="134"/>
          </rPr>
          <t xml:space="preserve">
申报单价11440.95元</t>
        </r>
      </text>
    </comment>
    <comment ref="AB24" authorId="1">
      <text>
        <r>
          <rPr>
            <b/>
            <sz val="9"/>
            <rFont val="宋体"/>
            <charset val="134"/>
          </rPr>
          <t>Administrator:</t>
        </r>
        <r>
          <rPr>
            <sz val="9"/>
            <rFont val="宋体"/>
            <charset val="134"/>
          </rPr>
          <t xml:space="preserve">
网签服务费，河南广鑫开的收据
</t>
        </r>
      </text>
    </comment>
    <comment ref="AH27" authorId="1">
      <text>
        <r>
          <rPr>
            <b/>
            <sz val="9"/>
            <rFont val="宋体"/>
            <charset val="134"/>
          </rPr>
          <t>Administrator:</t>
        </r>
        <r>
          <rPr>
            <sz val="9"/>
            <rFont val="宋体"/>
            <charset val="134"/>
          </rPr>
          <t xml:space="preserve">
恒祥房地产收据</t>
        </r>
      </text>
    </comment>
    <comment ref="AB28" authorId="3">
      <text>
        <r>
          <rPr>
            <b/>
            <sz val="9"/>
            <rFont val="宋体"/>
            <charset val="134"/>
          </rPr>
          <t>lenovo:</t>
        </r>
        <r>
          <rPr>
            <sz val="9"/>
            <rFont val="宋体"/>
            <charset val="134"/>
          </rPr>
          <t xml:space="preserve">
郑州浩生房地产经纪有限公司按揭费用1579元，河南省公证处公证费460元，</t>
        </r>
      </text>
    </comment>
    <comment ref="AB29" authorId="3">
      <text>
        <r>
          <rPr>
            <b/>
            <sz val="9"/>
            <rFont val="宋体"/>
            <charset val="134"/>
          </rPr>
          <t>lenovo:</t>
        </r>
        <r>
          <rPr>
            <sz val="9"/>
            <rFont val="宋体"/>
            <charset val="134"/>
          </rPr>
          <t xml:space="preserve">
郑州浩生房地产经纪有限公司按揭费用1585元，</t>
        </r>
      </text>
    </comment>
    <comment ref="AH32" authorId="1">
      <text>
        <r>
          <rPr>
            <b/>
            <sz val="9"/>
            <rFont val="宋体"/>
            <charset val="134"/>
          </rPr>
          <t>Administrator:</t>
        </r>
        <r>
          <rPr>
            <sz val="9"/>
            <rFont val="宋体"/>
            <charset val="134"/>
          </rPr>
          <t xml:space="preserve">
恒祥房地产收据</t>
        </r>
      </text>
    </comment>
    <comment ref="S35" authorId="2">
      <text>
        <r>
          <rPr>
            <b/>
            <sz val="9"/>
            <rFont val="宋体"/>
            <charset val="134"/>
          </rPr>
          <t>n'k'k:</t>
        </r>
        <r>
          <rPr>
            <sz val="9"/>
            <rFont val="宋体"/>
            <charset val="134"/>
          </rPr>
          <t xml:space="preserve">
该金额销控表未登记，但账面及个人账未查到退还该金额的记录。</t>
        </r>
      </text>
    </comment>
    <comment ref="AB38" authorId="3">
      <text>
        <r>
          <rPr>
            <b/>
            <sz val="9"/>
            <rFont val="宋体"/>
            <charset val="134"/>
          </rPr>
          <t>lenovo:</t>
        </r>
        <r>
          <rPr>
            <sz val="9"/>
            <rFont val="宋体"/>
            <charset val="134"/>
          </rPr>
          <t xml:space="preserve">
团购电商服务费</t>
        </r>
      </text>
    </comment>
    <comment ref="AB39" authorId="3">
      <text>
        <r>
          <rPr>
            <b/>
            <sz val="9"/>
            <rFont val="宋体"/>
            <charset val="134"/>
          </rPr>
          <t>lenovo:</t>
        </r>
        <r>
          <rPr>
            <sz val="9"/>
            <rFont val="宋体"/>
            <charset val="134"/>
          </rPr>
          <t xml:space="preserve">
团购电商服务费</t>
        </r>
      </text>
    </comment>
    <comment ref="S41" authorId="2">
      <text>
        <r>
          <rPr>
            <b/>
            <sz val="9"/>
            <rFont val="宋体"/>
            <charset val="134"/>
          </rPr>
          <t>n'k'k:</t>
        </r>
        <r>
          <rPr>
            <sz val="9"/>
            <rFont val="宋体"/>
            <charset val="134"/>
          </rPr>
          <t xml:space="preserve">
在退房债权中申报</t>
        </r>
      </text>
    </comment>
    <comment ref="AI47" authorId="0">
      <text>
        <r>
          <rPr>
            <b/>
            <sz val="9"/>
            <rFont val="宋体"/>
            <charset val="134"/>
          </rPr>
          <t>全玉霞:</t>
        </r>
        <r>
          <rPr>
            <sz val="9"/>
            <rFont val="宋体"/>
            <charset val="134"/>
          </rPr>
          <t xml:space="preserve">
未申报产权登记费</t>
        </r>
      </text>
    </comment>
    <comment ref="K71" authorId="1">
      <text>
        <r>
          <rPr>
            <b/>
            <sz val="9"/>
            <rFont val="宋体"/>
            <charset val="134"/>
          </rPr>
          <t>Administrator:</t>
        </r>
        <r>
          <rPr>
            <sz val="9"/>
            <rFont val="宋体"/>
            <charset val="134"/>
          </rPr>
          <t xml:space="preserve">
申报建筑面积：55.11</t>
        </r>
      </text>
    </comment>
    <comment ref="P71" authorId="1">
      <text>
        <r>
          <rPr>
            <b/>
            <sz val="9"/>
            <rFont val="宋体"/>
            <charset val="134"/>
          </rPr>
          <t>Administrator:</t>
        </r>
        <r>
          <rPr>
            <sz val="9"/>
            <rFont val="宋体"/>
            <charset val="134"/>
          </rPr>
          <t xml:space="preserve">
申报填写合同房款716430元</t>
        </r>
      </text>
    </comment>
    <comment ref="AB72" authorId="1">
      <text>
        <r>
          <rPr>
            <b/>
            <sz val="9"/>
            <rFont val="宋体"/>
            <charset val="134"/>
          </rPr>
          <t>Administrator:</t>
        </r>
        <r>
          <rPr>
            <sz val="9"/>
            <rFont val="宋体"/>
            <charset val="134"/>
          </rPr>
          <t xml:space="preserve">
代收银行货款办理费1000元</t>
        </r>
      </text>
    </comment>
    <comment ref="AB78" authorId="3">
      <text>
        <r>
          <rPr>
            <b/>
            <sz val="9"/>
            <rFont val="宋体"/>
            <charset val="134"/>
          </rPr>
          <t>lenovo:</t>
        </r>
        <r>
          <rPr>
            <sz val="9"/>
            <rFont val="宋体"/>
            <charset val="134"/>
          </rPr>
          <t xml:space="preserve">
按揭费用1435+公证费230+契税33588</t>
        </r>
      </text>
    </comment>
    <comment ref="AB84" authorId="1">
      <text>
        <r>
          <rPr>
            <b/>
            <sz val="9"/>
            <rFont val="宋体"/>
            <charset val="134"/>
          </rPr>
          <t>Administrator:</t>
        </r>
        <r>
          <rPr>
            <sz val="9"/>
            <rFont val="宋体"/>
            <charset val="134"/>
          </rPr>
          <t xml:space="preserve">
按揭费1千元，抵押登记费550，印花税27，公证费300，会员增值服务费3000</t>
        </r>
      </text>
    </comment>
    <comment ref="AB85" authorId="1">
      <text>
        <r>
          <rPr>
            <b/>
            <sz val="9"/>
            <rFont val="宋体"/>
            <charset val="134"/>
          </rPr>
          <t>Administrator:</t>
        </r>
        <r>
          <rPr>
            <sz val="9"/>
            <rFont val="宋体"/>
            <charset val="134"/>
          </rPr>
          <t xml:space="preserve">
会员增值服务费3千
按揭+抵押+印花=1877元</t>
        </r>
      </text>
    </comment>
    <comment ref="X91" authorId="2">
      <text>
        <r>
          <rPr>
            <b/>
            <sz val="9"/>
            <rFont val="宋体"/>
            <charset val="134"/>
          </rPr>
          <t>n'k'k:</t>
        </r>
        <r>
          <rPr>
            <sz val="9"/>
            <rFont val="宋体"/>
            <charset val="134"/>
          </rPr>
          <t xml:space="preserve">
未申报，有收据</t>
        </r>
      </text>
    </comment>
    <comment ref="R96" authorId="1">
      <text>
        <r>
          <rPr>
            <b/>
            <sz val="9"/>
            <rFont val="宋体"/>
            <charset val="134"/>
          </rPr>
          <t>Administrator:</t>
        </r>
        <r>
          <rPr>
            <sz val="9"/>
            <rFont val="宋体"/>
            <charset val="134"/>
          </rPr>
          <t xml:space="preserve">
恒祥欠吴新芳酒款，吴新芳将该住宅债权转让给桑香珍</t>
        </r>
      </text>
    </comment>
    <comment ref="AG96" authorId="1">
      <text>
        <r>
          <rPr>
            <b/>
            <sz val="9"/>
            <rFont val="宋体"/>
            <charset val="134"/>
          </rPr>
          <t>Administrator:</t>
        </r>
        <r>
          <rPr>
            <sz val="9"/>
            <rFont val="宋体"/>
            <charset val="134"/>
          </rPr>
          <t xml:space="preserve">
2021.4.7桑香珍与吴新芳签订债权转让协议</t>
        </r>
      </text>
    </comment>
    <comment ref="R97" authorId="1">
      <text>
        <r>
          <rPr>
            <b/>
            <sz val="9"/>
            <rFont val="宋体"/>
            <charset val="134"/>
          </rPr>
          <t>Administrator:</t>
        </r>
        <r>
          <rPr>
            <sz val="9"/>
            <rFont val="宋体"/>
            <charset val="134"/>
          </rPr>
          <t xml:space="preserve">
恒祥欠吴新芳酒款，吴新芳将该住宅债权转让给康志霞
</t>
        </r>
      </text>
    </comment>
    <comment ref="AB100" authorId="1">
      <text>
        <r>
          <rPr>
            <b/>
            <sz val="9"/>
            <rFont val="宋体"/>
            <charset val="134"/>
          </rPr>
          <t>Administrator:</t>
        </r>
        <r>
          <rPr>
            <sz val="9"/>
            <rFont val="宋体"/>
            <charset val="134"/>
          </rPr>
          <t xml:space="preserve">
按揭费</t>
        </r>
      </text>
    </comment>
    <comment ref="AC103" authorId="1">
      <text>
        <r>
          <rPr>
            <b/>
            <sz val="9"/>
            <rFont val="宋体"/>
            <charset val="134"/>
          </rPr>
          <t>Administrator:</t>
        </r>
        <r>
          <rPr>
            <sz val="9"/>
            <rFont val="宋体"/>
            <charset val="134"/>
          </rPr>
          <t xml:space="preserve">
本金551800+3586+550+利息519614</t>
        </r>
      </text>
    </comment>
    <comment ref="AI103" authorId="1">
      <text>
        <r>
          <rPr>
            <b/>
            <sz val="9"/>
            <rFont val="宋体"/>
            <charset val="134"/>
          </rPr>
          <t>Administrator:</t>
        </r>
        <r>
          <rPr>
            <sz val="9"/>
            <rFont val="宋体"/>
            <charset val="134"/>
          </rPr>
          <t xml:space="preserve">
本金551800+3586+550+利息519614</t>
        </r>
      </text>
    </comment>
    <comment ref="W109" authorId="3">
      <text>
        <r>
          <rPr>
            <b/>
            <sz val="9"/>
            <rFont val="宋体"/>
            <charset val="134"/>
          </rPr>
          <t>lenovo:</t>
        </r>
        <r>
          <rPr>
            <sz val="9"/>
            <rFont val="宋体"/>
            <charset val="134"/>
          </rPr>
          <t xml:space="preserve">
原表登记金额6458，实际金额6468</t>
        </r>
      </text>
    </comment>
    <comment ref="AB112" authorId="2">
      <text>
        <r>
          <rPr>
            <b/>
            <sz val="9"/>
            <rFont val="宋体"/>
            <charset val="134"/>
          </rPr>
          <t>n'k'k:</t>
        </r>
        <r>
          <rPr>
            <sz val="9"/>
            <rFont val="宋体"/>
            <charset val="134"/>
          </rPr>
          <t xml:space="preserve">
服务费+中介费
</t>
        </r>
      </text>
    </comment>
    <comment ref="X114" authorId="1">
      <text>
        <r>
          <rPr>
            <b/>
            <sz val="9"/>
            <rFont val="宋体"/>
            <charset val="134"/>
          </rPr>
          <t>Administrator:</t>
        </r>
        <r>
          <rPr>
            <sz val="9"/>
            <rFont val="宋体"/>
            <charset val="134"/>
          </rPr>
          <t xml:space="preserve">
其中10元收据上写的房款，账套上入的不动产登记费</t>
        </r>
      </text>
    </comment>
    <comment ref="AB115" authorId="2">
      <text>
        <r>
          <rPr>
            <b/>
            <sz val="9"/>
            <rFont val="宋体"/>
            <charset val="134"/>
          </rPr>
          <t>n'k'k:</t>
        </r>
        <r>
          <rPr>
            <sz val="9"/>
            <rFont val="宋体"/>
            <charset val="134"/>
          </rPr>
          <t xml:space="preserve">
未申报</t>
        </r>
      </text>
    </comment>
    <comment ref="AA117" authorId="2">
      <text>
        <r>
          <rPr>
            <b/>
            <sz val="9"/>
            <rFont val="宋体"/>
            <charset val="134"/>
          </rPr>
          <t>n'k'k:</t>
        </r>
        <r>
          <rPr>
            <sz val="9"/>
            <rFont val="宋体"/>
            <charset val="134"/>
          </rPr>
          <t xml:space="preserve">
房地产盖章收据，款项性质为代开，白国法兴业卡摘要为收房款
</t>
        </r>
      </text>
    </comment>
    <comment ref="B120" authorId="4">
      <text>
        <r>
          <rPr>
            <b/>
            <sz val="9"/>
            <rFont val="Tahoma"/>
            <charset val="134"/>
          </rPr>
          <t>xbany:</t>
        </r>
        <r>
          <rPr>
            <sz val="9"/>
            <rFont val="Tahoma"/>
            <charset val="134"/>
          </rPr>
          <t xml:space="preserve">
</t>
        </r>
        <r>
          <rPr>
            <sz val="9"/>
            <rFont val="宋体"/>
            <charset val="134"/>
          </rPr>
          <t>母子更名，金寅峰更成母亲名字</t>
        </r>
      </text>
    </comment>
    <comment ref="R120" authorId="1">
      <text>
        <r>
          <rPr>
            <b/>
            <sz val="9"/>
            <rFont val="宋体"/>
            <charset val="134"/>
          </rPr>
          <t>Administrator:</t>
        </r>
        <r>
          <rPr>
            <sz val="9"/>
            <rFont val="宋体"/>
            <charset val="134"/>
          </rPr>
          <t xml:space="preserve">
520987元在退房债权中申报</t>
        </r>
      </text>
    </comment>
    <comment ref="S120" authorId="2">
      <text>
        <r>
          <rPr>
            <b/>
            <sz val="9"/>
            <rFont val="宋体"/>
            <charset val="134"/>
          </rPr>
          <t>n'k'k:</t>
        </r>
        <r>
          <rPr>
            <sz val="9"/>
            <rFont val="宋体"/>
            <charset val="134"/>
          </rPr>
          <t xml:space="preserve">
单价变化需退房款，已起诉。
</t>
        </r>
      </text>
    </comment>
    <comment ref="AD138" authorId="1">
      <text>
        <r>
          <rPr>
            <b/>
            <sz val="9"/>
            <rFont val="宋体"/>
            <charset val="134"/>
          </rPr>
          <t>Administrator:</t>
        </r>
        <r>
          <rPr>
            <sz val="9"/>
            <rFont val="宋体"/>
            <charset val="134"/>
          </rPr>
          <t xml:space="preserve">
维修基金多申报0.85元</t>
        </r>
      </text>
    </comment>
    <comment ref="AB141" authorId="1">
      <text>
        <r>
          <rPr>
            <b/>
            <sz val="9"/>
            <rFont val="宋体"/>
            <charset val="134"/>
          </rPr>
          <t>Administrator:</t>
        </r>
        <r>
          <rPr>
            <sz val="9"/>
            <rFont val="宋体"/>
            <charset val="134"/>
          </rPr>
          <t xml:space="preserve">
按揭服务费1000+抵押登记550+费用20</t>
        </r>
      </text>
    </comment>
    <comment ref="AD142" authorId="1">
      <text>
        <r>
          <rPr>
            <b/>
            <sz val="9"/>
            <rFont val="宋体"/>
            <charset val="134"/>
          </rPr>
          <t>Administrator:</t>
        </r>
        <r>
          <rPr>
            <sz val="9"/>
            <rFont val="宋体"/>
            <charset val="134"/>
          </rPr>
          <t xml:space="preserve">
维修基金申报5000元，比销控表多618元；未申报产权登记费550元</t>
        </r>
      </text>
    </comment>
    <comment ref="AI142" authorId="1">
      <text>
        <r>
          <rPr>
            <b/>
            <sz val="9"/>
            <rFont val="宋体"/>
            <charset val="134"/>
          </rPr>
          <t>Administrator:</t>
        </r>
        <r>
          <rPr>
            <sz val="9"/>
            <rFont val="宋体"/>
            <charset val="134"/>
          </rPr>
          <t xml:space="preserve">
302495+5000维修基金（无收据）</t>
        </r>
      </text>
    </comment>
    <comment ref="AB147" authorId="1">
      <text>
        <r>
          <rPr>
            <b/>
            <sz val="9"/>
            <rFont val="宋体"/>
            <charset val="134"/>
          </rPr>
          <t>Administrator:</t>
        </r>
        <r>
          <rPr>
            <sz val="9"/>
            <rFont val="宋体"/>
            <charset val="134"/>
          </rPr>
          <t xml:space="preserve">
按揭费1000+增值服务3000+抵押登记550+印花税33</t>
        </r>
      </text>
    </comment>
    <comment ref="B164" authorId="1">
      <text>
        <r>
          <rPr>
            <b/>
            <sz val="9"/>
            <rFont val="宋体"/>
            <charset val="134"/>
          </rPr>
          <t>Administrator:</t>
        </r>
        <r>
          <rPr>
            <sz val="9"/>
            <rFont val="宋体"/>
            <charset val="134"/>
          </rPr>
          <t xml:space="preserve">
商铺9-105调房</t>
        </r>
      </text>
    </comment>
    <comment ref="AB178" authorId="1">
      <text>
        <r>
          <rPr>
            <b/>
            <sz val="9"/>
            <rFont val="宋体"/>
            <charset val="134"/>
          </rPr>
          <t>Administrator:</t>
        </r>
        <r>
          <rPr>
            <sz val="9"/>
            <rFont val="宋体"/>
            <charset val="134"/>
          </rPr>
          <t xml:space="preserve">
按揭费1000元，公证费220元，印花税30元</t>
        </r>
      </text>
    </comment>
    <comment ref="AB180" authorId="1">
      <text>
        <r>
          <rPr>
            <b/>
            <sz val="9"/>
            <rFont val="宋体"/>
            <charset val="134"/>
          </rPr>
          <t>Administrator:</t>
        </r>
        <r>
          <rPr>
            <sz val="9"/>
            <rFont val="宋体"/>
            <charset val="134"/>
          </rPr>
          <t xml:space="preserve">
按揭服务费1265元，恒祥房地产代开费3万元
</t>
        </r>
      </text>
    </comment>
    <comment ref="AB181" authorId="3">
      <text>
        <r>
          <rPr>
            <b/>
            <sz val="9"/>
            <rFont val="宋体"/>
            <charset val="134"/>
          </rPr>
          <t>lenovo:</t>
        </r>
        <r>
          <rPr>
            <sz val="9"/>
            <rFont val="宋体"/>
            <charset val="134"/>
          </rPr>
          <t xml:space="preserve">
公证费</t>
        </r>
      </text>
    </comment>
    <comment ref="AB182" authorId="3">
      <text>
        <r>
          <rPr>
            <b/>
            <sz val="9"/>
            <rFont val="宋体"/>
            <charset val="134"/>
          </rPr>
          <t>lenovo:</t>
        </r>
        <r>
          <rPr>
            <sz val="9"/>
            <rFont val="宋体"/>
            <charset val="134"/>
          </rPr>
          <t xml:space="preserve">
按揭服务费1577，公证费230元</t>
        </r>
      </text>
    </comment>
    <comment ref="P188" authorId="1">
      <text>
        <r>
          <rPr>
            <b/>
            <sz val="9"/>
            <rFont val="宋体"/>
            <charset val="134"/>
          </rPr>
          <t>Administrator:</t>
        </r>
        <r>
          <rPr>
            <sz val="9"/>
            <rFont val="宋体"/>
            <charset val="134"/>
          </rPr>
          <t xml:space="preserve">
申报填写金额1574700元</t>
        </r>
      </text>
    </comment>
    <comment ref="AB193" authorId="1">
      <text>
        <r>
          <rPr>
            <b/>
            <sz val="9"/>
            <rFont val="宋体"/>
            <charset val="134"/>
          </rPr>
          <t xml:space="preserve">Administrator:
</t>
        </r>
        <r>
          <rPr>
            <sz val="9"/>
            <rFont val="宋体"/>
            <charset val="134"/>
          </rPr>
          <t>按揭费用1577元，公证费230元</t>
        </r>
      </text>
    </comment>
    <comment ref="P198" authorId="1">
      <text>
        <r>
          <rPr>
            <b/>
            <sz val="9"/>
            <rFont val="宋体"/>
            <charset val="134"/>
          </rPr>
          <t>Administrator:</t>
        </r>
        <r>
          <rPr>
            <sz val="9"/>
            <rFont val="宋体"/>
            <charset val="134"/>
          </rPr>
          <t xml:space="preserve">
申报填写825220元</t>
        </r>
      </text>
    </comment>
    <comment ref="AB198" authorId="1">
      <text>
        <r>
          <rPr>
            <b/>
            <sz val="9"/>
            <rFont val="宋体"/>
            <charset val="134"/>
          </rPr>
          <t>Administrator:</t>
        </r>
        <r>
          <rPr>
            <sz val="9"/>
            <rFont val="宋体"/>
            <charset val="134"/>
          </rPr>
          <t xml:space="preserve">
中介费</t>
        </r>
      </text>
    </comment>
    <comment ref="AB208" authorId="1">
      <text>
        <r>
          <rPr>
            <b/>
            <sz val="9"/>
            <rFont val="宋体"/>
            <charset val="134"/>
          </rPr>
          <t>Administrator:</t>
        </r>
        <r>
          <rPr>
            <sz val="9"/>
            <rFont val="宋体"/>
            <charset val="134"/>
          </rPr>
          <t xml:space="preserve">
按揭费1579云，会员增值服务费3千元</t>
        </r>
      </text>
    </comment>
    <comment ref="AB210" authorId="1">
      <text>
        <r>
          <rPr>
            <b/>
            <sz val="9"/>
            <rFont val="宋体"/>
            <charset val="134"/>
          </rPr>
          <t>Administrator:</t>
        </r>
        <r>
          <rPr>
            <sz val="9"/>
            <rFont val="宋体"/>
            <charset val="134"/>
          </rPr>
          <t xml:space="preserve">
购房活动费3千元
手续费360元</t>
        </r>
      </text>
    </comment>
    <comment ref="AJ216" authorId="0">
      <text>
        <r>
          <rPr>
            <b/>
            <sz val="9"/>
            <rFont val="宋体"/>
            <charset val="134"/>
          </rPr>
          <t>全玉霞:</t>
        </r>
        <r>
          <rPr>
            <sz val="9"/>
            <rFont val="宋体"/>
            <charset val="134"/>
          </rPr>
          <t xml:space="preserve">
账面显示按揭款已回款，债权人未申报按揭回款36万，待核实
</t>
        </r>
      </text>
    </comment>
    <comment ref="P219" authorId="1">
      <text>
        <r>
          <rPr>
            <b/>
            <sz val="9"/>
            <rFont val="宋体"/>
            <charset val="134"/>
          </rPr>
          <t>Administrator:</t>
        </r>
        <r>
          <rPr>
            <sz val="9"/>
            <rFont val="宋体"/>
            <charset val="134"/>
          </rPr>
          <t xml:space="preserve">
申报填写427399元</t>
        </r>
      </text>
    </comment>
    <comment ref="AB219" authorId="1">
      <text>
        <r>
          <rPr>
            <b/>
            <sz val="9"/>
            <rFont val="宋体"/>
            <charset val="134"/>
          </rPr>
          <t>Administrator:</t>
        </r>
        <r>
          <rPr>
            <sz val="9"/>
            <rFont val="宋体"/>
            <charset val="134"/>
          </rPr>
          <t xml:space="preserve">
按揭费1千元，公证费220元，印花税22元</t>
        </r>
      </text>
    </comment>
    <comment ref="P220" authorId="1">
      <text>
        <r>
          <rPr>
            <b/>
            <sz val="9"/>
            <rFont val="宋体"/>
            <charset val="134"/>
          </rPr>
          <t>Administrator:</t>
        </r>
        <r>
          <rPr>
            <sz val="9"/>
            <rFont val="宋体"/>
            <charset val="134"/>
          </rPr>
          <t xml:space="preserve">
申报填写639734元</t>
        </r>
      </text>
    </comment>
    <comment ref="AB222" authorId="1">
      <text>
        <r>
          <rPr>
            <b/>
            <sz val="9"/>
            <rFont val="宋体"/>
            <charset val="134"/>
          </rPr>
          <t>Administrator:</t>
        </r>
        <r>
          <rPr>
            <sz val="9"/>
            <rFont val="宋体"/>
            <charset val="134"/>
          </rPr>
          <t xml:space="preserve">
按揭手续办理费</t>
        </r>
      </text>
    </comment>
    <comment ref="X224" authorId="0">
      <text>
        <r>
          <rPr>
            <b/>
            <sz val="9"/>
            <rFont val="宋体"/>
            <charset val="134"/>
          </rPr>
          <t>全玉霞:</t>
        </r>
        <r>
          <rPr>
            <sz val="9"/>
            <rFont val="宋体"/>
            <charset val="134"/>
          </rPr>
          <t xml:space="preserve">
其中契税12845.62元</t>
        </r>
      </text>
    </comment>
    <comment ref="AB224" authorId="0">
      <text>
        <r>
          <rPr>
            <b/>
            <sz val="9"/>
            <rFont val="宋体"/>
            <charset val="134"/>
          </rPr>
          <t xml:space="preserve">全玉霞:
</t>
        </r>
        <r>
          <rPr>
            <sz val="9"/>
            <rFont val="宋体"/>
            <charset val="134"/>
          </rPr>
          <t>原业主案件受理费，付亚杰代恒祥支付</t>
        </r>
      </text>
    </comment>
    <comment ref="AD224" authorId="1">
      <text>
        <r>
          <rPr>
            <b/>
            <sz val="9"/>
            <rFont val="宋体"/>
            <charset val="134"/>
          </rPr>
          <t>Administrator:</t>
        </r>
        <r>
          <rPr>
            <sz val="9"/>
            <rFont val="宋体"/>
            <charset val="134"/>
          </rPr>
          <t xml:space="preserve">
契税</t>
        </r>
      </text>
    </comment>
    <comment ref="V229" authorId="2">
      <text>
        <r>
          <rPr>
            <b/>
            <sz val="9"/>
            <rFont val="宋体"/>
            <charset val="134"/>
          </rPr>
          <t>n'k'k:</t>
        </r>
        <r>
          <rPr>
            <sz val="9"/>
            <rFont val="宋体"/>
            <charset val="134"/>
          </rPr>
          <t xml:space="preserve">
未申报
</t>
        </r>
      </text>
    </comment>
    <comment ref="AB238" authorId="1">
      <text>
        <r>
          <rPr>
            <b/>
            <sz val="9"/>
            <rFont val="宋体"/>
            <charset val="134"/>
          </rPr>
          <t>Administrator:</t>
        </r>
        <r>
          <rPr>
            <sz val="9"/>
            <rFont val="宋体"/>
            <charset val="134"/>
          </rPr>
          <t xml:space="preserve">
公积金代办费
</t>
        </r>
      </text>
    </comment>
    <comment ref="AB239" authorId="1">
      <text>
        <r>
          <rPr>
            <b/>
            <sz val="9"/>
            <rFont val="宋体"/>
            <charset val="134"/>
          </rPr>
          <t>Administrator:</t>
        </r>
        <r>
          <rPr>
            <sz val="9"/>
            <rFont val="宋体"/>
            <charset val="134"/>
          </rPr>
          <t xml:space="preserve">
公积金代办费
</t>
        </r>
      </text>
    </comment>
    <comment ref="H242" authorId="3">
      <text>
        <r>
          <rPr>
            <b/>
            <sz val="9"/>
            <rFont val="宋体"/>
            <charset val="134"/>
          </rPr>
          <t>lenovo:</t>
        </r>
        <r>
          <rPr>
            <sz val="9"/>
            <rFont val="宋体"/>
            <charset val="134"/>
          </rPr>
          <t xml:space="preserve">
申报2单元</t>
        </r>
      </text>
    </comment>
    <comment ref="P244" authorId="1">
      <text>
        <r>
          <rPr>
            <b/>
            <sz val="9"/>
            <rFont val="宋体"/>
            <charset val="134"/>
          </rPr>
          <t>Administrator:</t>
        </r>
        <r>
          <rPr>
            <sz val="9"/>
            <rFont val="宋体"/>
            <charset val="134"/>
          </rPr>
          <t xml:space="preserve">
申报填写937580元</t>
        </r>
      </text>
    </comment>
    <comment ref="AB244" authorId="1">
      <text>
        <r>
          <rPr>
            <b/>
            <sz val="9"/>
            <rFont val="宋体"/>
            <charset val="134"/>
          </rPr>
          <t>Administrator:</t>
        </r>
        <r>
          <rPr>
            <sz val="9"/>
            <rFont val="宋体"/>
            <charset val="134"/>
          </rPr>
          <t xml:space="preserve">
恒祥房地产出具收据：代开 3万元</t>
        </r>
      </text>
    </comment>
    <comment ref="P245" authorId="1">
      <text>
        <r>
          <rPr>
            <b/>
            <sz val="9"/>
            <rFont val="宋体"/>
            <charset val="134"/>
          </rPr>
          <t>Administrator:</t>
        </r>
        <r>
          <rPr>
            <sz val="9"/>
            <rFont val="宋体"/>
            <charset val="134"/>
          </rPr>
          <t xml:space="preserve">
申报填写605806元</t>
        </r>
      </text>
    </comment>
    <comment ref="AB245" authorId="1">
      <text>
        <r>
          <rPr>
            <b/>
            <sz val="9"/>
            <rFont val="宋体"/>
            <charset val="134"/>
          </rPr>
          <t>Administrator:</t>
        </r>
        <r>
          <rPr>
            <sz val="9"/>
            <rFont val="宋体"/>
            <charset val="134"/>
          </rPr>
          <t xml:space="preserve">
会员增值服务费，沃之野公司开的收据</t>
        </r>
      </text>
    </comment>
    <comment ref="P246" authorId="1">
      <text>
        <r>
          <rPr>
            <b/>
            <sz val="9"/>
            <rFont val="宋体"/>
            <charset val="134"/>
          </rPr>
          <t>Administrator:</t>
        </r>
        <r>
          <rPr>
            <sz val="9"/>
            <rFont val="宋体"/>
            <charset val="134"/>
          </rPr>
          <t xml:space="preserve">
申报填写623470元</t>
        </r>
      </text>
    </comment>
    <comment ref="AB246" authorId="1">
      <text>
        <r>
          <rPr>
            <b/>
            <sz val="9"/>
            <rFont val="宋体"/>
            <charset val="134"/>
          </rPr>
          <t>Administrator:</t>
        </r>
        <r>
          <rPr>
            <sz val="9"/>
            <rFont val="宋体"/>
            <charset val="134"/>
          </rPr>
          <t xml:space="preserve">
会员服务费，北京焦点公司出具的收据
</t>
        </r>
      </text>
    </comment>
    <comment ref="P247" authorId="1">
      <text>
        <r>
          <rPr>
            <b/>
            <sz val="9"/>
            <rFont val="宋体"/>
            <charset val="134"/>
          </rPr>
          <t>Administrator:</t>
        </r>
        <r>
          <rPr>
            <sz val="9"/>
            <rFont val="宋体"/>
            <charset val="134"/>
          </rPr>
          <t xml:space="preserve">
申报填写2213715元</t>
        </r>
      </text>
    </comment>
    <comment ref="X255" authorId="2">
      <text>
        <r>
          <rPr>
            <b/>
            <sz val="9"/>
            <rFont val="宋体"/>
            <charset val="134"/>
          </rPr>
          <t>n'k'k:</t>
        </r>
        <r>
          <rPr>
            <sz val="9"/>
            <rFont val="宋体"/>
            <charset val="134"/>
          </rPr>
          <t xml:space="preserve">
未申报
</t>
        </r>
      </text>
    </comment>
    <comment ref="J264" authorId="3">
      <text>
        <r>
          <rPr>
            <b/>
            <sz val="9"/>
            <rFont val="宋体"/>
            <charset val="134"/>
          </rPr>
          <t>lenovo:</t>
        </r>
        <r>
          <rPr>
            <sz val="9"/>
            <rFont val="宋体"/>
            <charset val="134"/>
          </rPr>
          <t xml:space="preserve">
销控表房间号2506，申报登记2507，预约保留书</t>
        </r>
      </text>
    </comment>
    <comment ref="AB269" authorId="1">
      <text>
        <r>
          <rPr>
            <b/>
            <sz val="9"/>
            <rFont val="宋体"/>
            <charset val="134"/>
          </rPr>
          <t>Administrator:</t>
        </r>
        <r>
          <rPr>
            <sz val="9"/>
            <rFont val="宋体"/>
            <charset val="134"/>
          </rPr>
          <t xml:space="preserve">
办理按揭手续费
</t>
        </r>
      </text>
    </comment>
    <comment ref="P272" authorId="1">
      <text>
        <r>
          <rPr>
            <b/>
            <sz val="9"/>
            <rFont val="宋体"/>
            <charset val="134"/>
          </rPr>
          <t>Administrator:</t>
        </r>
        <r>
          <rPr>
            <sz val="9"/>
            <rFont val="宋体"/>
            <charset val="134"/>
          </rPr>
          <t xml:space="preserve">
申报填写778905元</t>
        </r>
      </text>
    </comment>
    <comment ref="AB273" authorId="1">
      <text>
        <r>
          <rPr>
            <b/>
            <sz val="9"/>
            <rFont val="宋体"/>
            <charset val="134"/>
          </rPr>
          <t>Administrator:</t>
        </r>
        <r>
          <rPr>
            <sz val="9"/>
            <rFont val="宋体"/>
            <charset val="134"/>
          </rPr>
          <t xml:space="preserve">
公积金代办费</t>
        </r>
      </text>
    </comment>
    <comment ref="AB277" authorId="2">
      <text>
        <r>
          <rPr>
            <b/>
            <sz val="9"/>
            <rFont val="宋体"/>
            <charset val="134"/>
          </rPr>
          <t>n'k'k:</t>
        </r>
        <r>
          <rPr>
            <sz val="9"/>
            <rFont val="宋体"/>
            <charset val="134"/>
          </rPr>
          <t xml:space="preserve">
未申报</t>
        </r>
      </text>
    </comment>
    <comment ref="J278" authorId="3">
      <text>
        <r>
          <rPr>
            <b/>
            <sz val="9"/>
            <rFont val="宋体"/>
            <charset val="134"/>
          </rPr>
          <t>lenovo:</t>
        </r>
        <r>
          <rPr>
            <sz val="9"/>
            <rFont val="宋体"/>
            <charset val="134"/>
          </rPr>
          <t xml:space="preserve">
申报3007，销控表3006</t>
        </r>
      </text>
    </comment>
    <comment ref="R279" authorId="3">
      <text>
        <r>
          <rPr>
            <b/>
            <sz val="9"/>
            <rFont val="宋体"/>
            <charset val="134"/>
          </rPr>
          <t>lenovo:</t>
        </r>
        <r>
          <rPr>
            <sz val="9"/>
            <rFont val="宋体"/>
            <charset val="134"/>
          </rPr>
          <t xml:space="preserve">
定金</t>
        </r>
      </text>
    </comment>
    <comment ref="W284" authorId="2">
      <text>
        <r>
          <rPr>
            <b/>
            <sz val="9"/>
            <rFont val="宋体"/>
            <charset val="134"/>
          </rPr>
          <t>n'k'k:</t>
        </r>
        <r>
          <rPr>
            <sz val="9"/>
            <rFont val="宋体"/>
            <charset val="134"/>
          </rPr>
          <t xml:space="preserve">
销控表为2元</t>
        </r>
      </text>
    </comment>
    <comment ref="P285" authorId="1">
      <text>
        <r>
          <rPr>
            <b/>
            <sz val="9"/>
            <rFont val="宋体"/>
            <charset val="134"/>
          </rPr>
          <t>Administrator:</t>
        </r>
        <r>
          <rPr>
            <sz val="9"/>
            <rFont val="宋体"/>
            <charset val="134"/>
          </rPr>
          <t xml:space="preserve">
申报填写1338000元</t>
        </r>
      </text>
    </comment>
    <comment ref="AI294" authorId="2">
      <text>
        <r>
          <rPr>
            <b/>
            <sz val="9"/>
            <rFont val="宋体"/>
            <charset val="134"/>
          </rPr>
          <t>n'k'k:</t>
        </r>
        <r>
          <rPr>
            <sz val="9"/>
            <rFont val="宋体"/>
            <charset val="134"/>
          </rPr>
          <t xml:space="preserve">
房款申报为110万元,销控表和账面均为873040元</t>
        </r>
      </text>
    </comment>
    <comment ref="W301" authorId="2">
      <text>
        <r>
          <rPr>
            <b/>
            <sz val="9"/>
            <rFont val="宋体"/>
            <charset val="134"/>
          </rPr>
          <t>n'k'k:</t>
        </r>
        <r>
          <rPr>
            <sz val="9"/>
            <rFont val="宋体"/>
            <charset val="134"/>
          </rPr>
          <t xml:space="preserve">
销控表无</t>
        </r>
      </text>
    </comment>
    <comment ref="X301" authorId="2">
      <text>
        <r>
          <rPr>
            <b/>
            <sz val="9"/>
            <rFont val="宋体"/>
            <charset val="134"/>
          </rPr>
          <t>n'k'k:</t>
        </r>
        <r>
          <rPr>
            <sz val="9"/>
            <rFont val="宋体"/>
            <charset val="134"/>
          </rPr>
          <t xml:space="preserve">
销控表无</t>
        </r>
      </text>
    </comment>
    <comment ref="R304" authorId="1">
      <text>
        <r>
          <rPr>
            <b/>
            <sz val="9"/>
            <rFont val="宋体"/>
            <charset val="134"/>
          </rPr>
          <t>Administrator:</t>
        </r>
        <r>
          <rPr>
            <sz val="9"/>
            <rFont val="宋体"/>
            <charset val="134"/>
          </rPr>
          <t xml:space="preserve">
杨方玲申报房款与账面金额均是1381280元，未提到需退款229元
</t>
        </r>
      </text>
    </comment>
    <comment ref="W305" authorId="2">
      <text>
        <r>
          <rPr>
            <b/>
            <sz val="9"/>
            <rFont val="宋体"/>
            <charset val="134"/>
          </rPr>
          <t>n'k'k:</t>
        </r>
        <r>
          <rPr>
            <sz val="9"/>
            <rFont val="宋体"/>
            <charset val="134"/>
          </rPr>
          <t xml:space="preserve">
销控表为2元，已核对账面为3242元</t>
        </r>
      </text>
    </comment>
    <comment ref="AI307" authorId="0">
      <text>
        <r>
          <rPr>
            <b/>
            <sz val="9"/>
            <rFont val="宋体"/>
            <charset val="134"/>
          </rPr>
          <t>全玉霞:</t>
        </r>
        <r>
          <rPr>
            <sz val="9"/>
            <rFont val="宋体"/>
            <charset val="134"/>
          </rPr>
          <t xml:space="preserve">
本人未申报维修基金和产权登记费</t>
        </r>
      </text>
    </comment>
    <comment ref="P310" authorId="1">
      <text>
        <r>
          <rPr>
            <b/>
            <sz val="9"/>
            <rFont val="宋体"/>
            <charset val="134"/>
          </rPr>
          <t>Administrator:</t>
        </r>
        <r>
          <rPr>
            <sz val="9"/>
            <rFont val="宋体"/>
            <charset val="134"/>
          </rPr>
          <t xml:space="preserve">
申报填写1298580元</t>
        </r>
      </text>
    </comment>
    <comment ref="AC317" authorId="2">
      <text>
        <r>
          <rPr>
            <b/>
            <sz val="9"/>
            <rFont val="宋体"/>
            <charset val="134"/>
          </rPr>
          <t>n'k'k:</t>
        </r>
        <r>
          <rPr>
            <sz val="9"/>
            <rFont val="宋体"/>
            <charset val="134"/>
          </rPr>
          <t xml:space="preserve">
银行按揭利息+违约金</t>
        </r>
      </text>
    </comment>
    <comment ref="AA323" authorId="2">
      <text>
        <r>
          <rPr>
            <b/>
            <sz val="9"/>
            <rFont val="宋体"/>
            <charset val="134"/>
          </rPr>
          <t>n'k'k:</t>
        </r>
        <r>
          <rPr>
            <sz val="9"/>
            <rFont val="宋体"/>
            <charset val="134"/>
          </rPr>
          <t xml:space="preserve">
未申报，附有资料。已核实账面</t>
        </r>
      </text>
    </comment>
    <comment ref="AA324" authorId="2">
      <text>
        <r>
          <rPr>
            <b/>
            <sz val="9"/>
            <rFont val="宋体"/>
            <charset val="134"/>
          </rPr>
          <t>n'k'k:</t>
        </r>
        <r>
          <rPr>
            <sz val="9"/>
            <rFont val="宋体"/>
            <charset val="134"/>
          </rPr>
          <t xml:space="preserve">
未申报，附有资料。已核实账面</t>
        </r>
      </text>
    </comment>
    <comment ref="AB330" authorId="0">
      <text>
        <r>
          <rPr>
            <b/>
            <sz val="9"/>
            <rFont val="宋体"/>
            <charset val="134"/>
          </rPr>
          <t>全玉霞:</t>
        </r>
        <r>
          <rPr>
            <sz val="9"/>
            <rFont val="宋体"/>
            <charset val="134"/>
          </rPr>
          <t xml:space="preserve">
数字模糊，维修基金收据实际为4761，债权人看错位4765
</t>
        </r>
      </text>
    </comment>
    <comment ref="P341" authorId="1">
      <text>
        <r>
          <rPr>
            <b/>
            <sz val="9"/>
            <rFont val="宋体"/>
            <charset val="134"/>
          </rPr>
          <t>Administrator:</t>
        </r>
        <r>
          <rPr>
            <sz val="9"/>
            <rFont val="宋体"/>
            <charset val="134"/>
          </rPr>
          <t xml:space="preserve">
申报填写803817元，未附合同</t>
        </r>
      </text>
    </comment>
    <comment ref="AB349" authorId="0">
      <text>
        <r>
          <rPr>
            <b/>
            <sz val="9"/>
            <rFont val="宋体"/>
            <charset val="134"/>
          </rPr>
          <t>全玉霞:</t>
        </r>
        <r>
          <rPr>
            <sz val="9"/>
            <rFont val="宋体"/>
            <charset val="134"/>
          </rPr>
          <t xml:space="preserve">
按揭服务费</t>
        </r>
      </text>
    </comment>
    <comment ref="AB350" authorId="0">
      <text>
        <r>
          <rPr>
            <b/>
            <sz val="9"/>
            <rFont val="宋体"/>
            <charset val="134"/>
          </rPr>
          <t>全玉霞:</t>
        </r>
        <r>
          <rPr>
            <sz val="9"/>
            <rFont val="宋体"/>
            <charset val="134"/>
          </rPr>
          <t xml:space="preserve">
公证费</t>
        </r>
      </text>
    </comment>
    <comment ref="P354" authorId="1">
      <text>
        <r>
          <rPr>
            <b/>
            <sz val="9"/>
            <rFont val="宋体"/>
            <charset val="134"/>
          </rPr>
          <t>Administrator:</t>
        </r>
        <r>
          <rPr>
            <sz val="9"/>
            <rFont val="宋体"/>
            <charset val="134"/>
          </rPr>
          <t xml:space="preserve">
申报填写935100元</t>
        </r>
      </text>
    </comment>
    <comment ref="X358" authorId="1">
      <text>
        <r>
          <rPr>
            <b/>
            <sz val="9"/>
            <rFont val="宋体"/>
            <charset val="134"/>
          </rPr>
          <t>Administrator:</t>
        </r>
        <r>
          <rPr>
            <sz val="9"/>
            <rFont val="宋体"/>
            <charset val="134"/>
          </rPr>
          <t xml:space="preserve">
产权登记费550元，工本费14元（有刷卡条，无收据）
</t>
        </r>
      </text>
    </comment>
    <comment ref="AB358" authorId="1">
      <text>
        <r>
          <rPr>
            <b/>
            <sz val="9"/>
            <rFont val="宋体"/>
            <charset val="134"/>
          </rPr>
          <t>Administrator:</t>
        </r>
        <r>
          <rPr>
            <sz val="9"/>
            <rFont val="宋体"/>
            <charset val="134"/>
          </rPr>
          <t xml:space="preserve">
工本费
</t>
        </r>
      </text>
    </comment>
    <comment ref="AB363" authorId="1">
      <text>
        <r>
          <rPr>
            <b/>
            <sz val="9"/>
            <rFont val="宋体"/>
            <charset val="134"/>
          </rPr>
          <t>Administrator:</t>
        </r>
        <r>
          <rPr>
            <sz val="9"/>
            <rFont val="宋体"/>
            <charset val="134"/>
          </rPr>
          <t xml:space="preserve">
电商服务费
</t>
        </r>
      </text>
    </comment>
    <comment ref="AB364" authorId="1">
      <text>
        <r>
          <rPr>
            <b/>
            <sz val="9"/>
            <rFont val="宋体"/>
            <charset val="134"/>
          </rPr>
          <t>Administrator:</t>
        </r>
        <r>
          <rPr>
            <sz val="9"/>
            <rFont val="宋体"/>
            <charset val="134"/>
          </rPr>
          <t xml:space="preserve">
电商服务费
</t>
        </r>
      </text>
    </comment>
    <comment ref="W369" authorId="0">
      <text>
        <r>
          <rPr>
            <b/>
            <sz val="9"/>
            <rFont val="宋体"/>
            <charset val="134"/>
          </rPr>
          <t>全玉霞:</t>
        </r>
        <r>
          <rPr>
            <sz val="9"/>
            <rFont val="宋体"/>
            <charset val="134"/>
          </rPr>
          <t xml:space="preserve">
收据和台账原金额均为4026，但刷卡小票金额为4246</t>
        </r>
      </text>
    </comment>
    <comment ref="AB373" authorId="0">
      <text>
        <r>
          <rPr>
            <b/>
            <sz val="9"/>
            <rFont val="宋体"/>
            <charset val="134"/>
          </rPr>
          <t>全玉霞:</t>
        </r>
        <r>
          <rPr>
            <sz val="9"/>
            <rFont val="宋体"/>
            <charset val="134"/>
          </rPr>
          <t xml:space="preserve">
3千会员费、1581抵押登记费</t>
        </r>
      </text>
    </comment>
    <comment ref="P374" authorId="1">
      <text>
        <r>
          <rPr>
            <b/>
            <sz val="9"/>
            <rFont val="宋体"/>
            <charset val="134"/>
          </rPr>
          <t>Administrator:</t>
        </r>
        <r>
          <rPr>
            <sz val="9"/>
            <rFont val="宋体"/>
            <charset val="134"/>
          </rPr>
          <t xml:space="preserve">
申报填写1301020元</t>
        </r>
      </text>
    </comment>
    <comment ref="AA374" authorId="1">
      <text>
        <r>
          <rPr>
            <b/>
            <sz val="9"/>
            <rFont val="宋体"/>
            <charset val="134"/>
          </rPr>
          <t>Administrator:</t>
        </r>
        <r>
          <rPr>
            <sz val="9"/>
            <rFont val="宋体"/>
            <charset val="134"/>
          </rPr>
          <t xml:space="preserve">
利息13183.2元，案件受理费3841元</t>
        </r>
      </text>
    </comment>
    <comment ref="AB374" authorId="1">
      <text>
        <r>
          <rPr>
            <b/>
            <sz val="9"/>
            <rFont val="宋体"/>
            <charset val="134"/>
          </rPr>
          <t>Administrator:</t>
        </r>
        <r>
          <rPr>
            <sz val="9"/>
            <rFont val="宋体"/>
            <charset val="134"/>
          </rPr>
          <t xml:space="preserve">
案件受理费</t>
        </r>
      </text>
    </comment>
    <comment ref="AB377" authorId="1">
      <text>
        <r>
          <rPr>
            <b/>
            <sz val="9"/>
            <rFont val="宋体"/>
            <charset val="134"/>
          </rPr>
          <t>Administrator:</t>
        </r>
        <r>
          <rPr>
            <sz val="9"/>
            <rFont val="宋体"/>
            <charset val="134"/>
          </rPr>
          <t xml:space="preserve">
按揭办理费1578元，电商服务费3000元</t>
        </r>
      </text>
    </comment>
    <comment ref="AB378" authorId="1">
      <text>
        <r>
          <rPr>
            <b/>
            <sz val="9"/>
            <rFont val="宋体"/>
            <charset val="134"/>
          </rPr>
          <t>Administrator:</t>
        </r>
        <r>
          <rPr>
            <sz val="9"/>
            <rFont val="宋体"/>
            <charset val="134"/>
          </rPr>
          <t xml:space="preserve">
按揭办理费1578元，电商服务费3000元</t>
        </r>
      </text>
    </comment>
    <comment ref="R380" authorId="1">
      <text>
        <r>
          <rPr>
            <b/>
            <sz val="9"/>
            <rFont val="宋体"/>
            <charset val="134"/>
          </rPr>
          <t>Administrator:</t>
        </r>
        <r>
          <rPr>
            <sz val="9"/>
            <rFont val="宋体"/>
            <charset val="134"/>
          </rPr>
          <t xml:space="preserve">
后补10元，原销控表金额577150元，公司账面有该10元</t>
        </r>
      </text>
    </comment>
    <comment ref="AB383" authorId="1">
      <text>
        <r>
          <rPr>
            <b/>
            <sz val="9"/>
            <rFont val="宋体"/>
            <charset val="134"/>
          </rPr>
          <t>Administrator:</t>
        </r>
        <r>
          <rPr>
            <sz val="9"/>
            <rFont val="宋体"/>
            <charset val="134"/>
          </rPr>
          <t xml:space="preserve">
债权申报人备注购房订金，附银行流水转至深圳滴滴找房网络科技公司，没有收据</t>
        </r>
      </text>
    </comment>
    <comment ref="AB388" authorId="1">
      <text>
        <r>
          <rPr>
            <b/>
            <sz val="9"/>
            <rFont val="宋体"/>
            <charset val="134"/>
          </rPr>
          <t>Administrator:</t>
        </r>
        <r>
          <rPr>
            <sz val="9"/>
            <rFont val="宋体"/>
            <charset val="134"/>
          </rPr>
          <t xml:space="preserve">
契税</t>
        </r>
      </text>
    </comment>
    <comment ref="P393" authorId="1">
      <text>
        <r>
          <rPr>
            <b/>
            <sz val="9"/>
            <rFont val="宋体"/>
            <charset val="134"/>
          </rPr>
          <t>Administrator:</t>
        </r>
        <r>
          <rPr>
            <sz val="9"/>
            <rFont val="宋体"/>
            <charset val="134"/>
          </rPr>
          <t xml:space="preserve">
申报填写1680435元</t>
        </r>
      </text>
    </comment>
    <comment ref="P404" authorId="1">
      <text>
        <r>
          <rPr>
            <b/>
            <sz val="9"/>
            <rFont val="宋体"/>
            <charset val="134"/>
          </rPr>
          <t>Administrator:</t>
        </r>
        <r>
          <rPr>
            <sz val="9"/>
            <rFont val="宋体"/>
            <charset val="134"/>
          </rPr>
          <t xml:space="preserve">
申报填写601663元</t>
        </r>
      </text>
    </comment>
    <comment ref="AB406" authorId="5">
      <text>
        <r>
          <rPr>
            <b/>
            <sz val="9"/>
            <rFont val="宋体"/>
            <charset val="134"/>
          </rPr>
          <t>GXN:</t>
        </r>
        <r>
          <rPr>
            <sz val="9"/>
            <rFont val="宋体"/>
            <charset val="134"/>
          </rPr>
          <t xml:space="preserve">
完税凭证：印花税+契税</t>
        </r>
      </text>
    </comment>
    <comment ref="AB412" authorId="5">
      <text>
        <r>
          <rPr>
            <b/>
            <sz val="9"/>
            <rFont val="宋体"/>
            <charset val="134"/>
          </rPr>
          <t>GXN:</t>
        </r>
        <r>
          <rPr>
            <sz val="9"/>
            <rFont val="宋体"/>
            <charset val="134"/>
          </rPr>
          <t xml:space="preserve">
3万配套费，无收据，无银行流水</t>
        </r>
      </text>
    </comment>
    <comment ref="P413" authorId="1">
      <text>
        <r>
          <rPr>
            <b/>
            <sz val="9"/>
            <rFont val="宋体"/>
            <charset val="134"/>
          </rPr>
          <t>Administrator:</t>
        </r>
        <r>
          <rPr>
            <sz val="9"/>
            <rFont val="宋体"/>
            <charset val="134"/>
          </rPr>
          <t xml:space="preserve">
申报填写885058元</t>
        </r>
      </text>
    </comment>
    <comment ref="AB414" authorId="1">
      <text>
        <r>
          <rPr>
            <b/>
            <sz val="9"/>
            <rFont val="宋体"/>
            <charset val="134"/>
          </rPr>
          <t>Administrator:</t>
        </r>
        <r>
          <rPr>
            <sz val="9"/>
            <rFont val="宋体"/>
            <charset val="134"/>
          </rPr>
          <t xml:space="preserve">
中介费
</t>
        </r>
      </text>
    </comment>
    <comment ref="P416" authorId="1">
      <text>
        <r>
          <rPr>
            <b/>
            <sz val="9"/>
            <rFont val="宋体"/>
            <charset val="134"/>
          </rPr>
          <t>Administrator:</t>
        </r>
        <r>
          <rPr>
            <sz val="9"/>
            <rFont val="宋体"/>
            <charset val="134"/>
          </rPr>
          <t xml:space="preserve">
申报填写744764元</t>
        </r>
      </text>
    </comment>
    <comment ref="AB423" authorId="1">
      <text>
        <r>
          <rPr>
            <b/>
            <sz val="9"/>
            <rFont val="宋体"/>
            <charset val="134"/>
          </rPr>
          <t>Administrator:</t>
        </r>
        <r>
          <rPr>
            <sz val="9"/>
            <rFont val="宋体"/>
            <charset val="134"/>
          </rPr>
          <t xml:space="preserve">
按揭服务费1000元，不动产抵押登记费550 ，印花税27元</t>
        </r>
      </text>
    </comment>
    <comment ref="AB424" authorId="5">
      <text>
        <r>
          <rPr>
            <b/>
            <sz val="9"/>
            <rFont val="宋体"/>
            <charset val="134"/>
          </rPr>
          <t>GXN:</t>
        </r>
        <r>
          <rPr>
            <sz val="9"/>
            <rFont val="宋体"/>
            <charset val="134"/>
          </rPr>
          <t xml:space="preserve">
该房产由马慧艳更名而来，收据注明杨青转马慧艳37.56万（3#-5-1335户），后附转账回执37.55万元</t>
        </r>
      </text>
    </comment>
    <comment ref="AB427" authorId="1">
      <text>
        <r>
          <rPr>
            <b/>
            <sz val="9"/>
            <rFont val="宋体"/>
            <charset val="134"/>
          </rPr>
          <t>Administrator:</t>
        </r>
        <r>
          <rPr>
            <sz val="9"/>
            <rFont val="宋体"/>
            <charset val="134"/>
          </rPr>
          <t xml:space="preserve">
会员增值服务费
</t>
        </r>
      </text>
    </comment>
    <comment ref="AB428" authorId="1">
      <text>
        <r>
          <rPr>
            <b/>
            <sz val="9"/>
            <rFont val="宋体"/>
            <charset val="134"/>
          </rPr>
          <t>Administrator:</t>
        </r>
        <r>
          <rPr>
            <sz val="9"/>
            <rFont val="宋体"/>
            <charset val="134"/>
          </rPr>
          <t xml:space="preserve">
公证费、印花税等1259元，1036元未写明是何费用</t>
        </r>
      </text>
    </comment>
    <comment ref="P437" authorId="1">
      <text>
        <r>
          <rPr>
            <b/>
            <sz val="9"/>
            <rFont val="宋体"/>
            <charset val="134"/>
          </rPr>
          <t>Administrator:</t>
        </r>
        <r>
          <rPr>
            <sz val="9"/>
            <rFont val="宋体"/>
            <charset val="134"/>
          </rPr>
          <t xml:space="preserve">
申报填写433217元</t>
        </r>
      </text>
    </comment>
    <comment ref="AB443" authorId="1">
      <text>
        <r>
          <rPr>
            <b/>
            <sz val="9"/>
            <rFont val="宋体"/>
            <charset val="134"/>
          </rPr>
          <t>Administrator:</t>
        </r>
        <r>
          <rPr>
            <sz val="9"/>
            <rFont val="宋体"/>
            <charset val="134"/>
          </rPr>
          <t xml:space="preserve">
中介费+契税</t>
        </r>
      </text>
    </comment>
    <comment ref="AB444" authorId="5">
      <text>
        <r>
          <rPr>
            <b/>
            <sz val="9"/>
            <rFont val="宋体"/>
            <charset val="134"/>
          </rPr>
          <t>GXN:</t>
        </r>
        <r>
          <rPr>
            <sz val="9"/>
            <rFont val="宋体"/>
            <charset val="134"/>
          </rPr>
          <t xml:space="preserve">
2021.6.10刘炜转给杨紫琰216240元，备注刘炜房款，该款项是否跟恒祥实业相关</t>
        </r>
      </text>
    </comment>
    <comment ref="AB448" authorId="5">
      <text>
        <r>
          <rPr>
            <b/>
            <sz val="9"/>
            <rFont val="宋体"/>
            <charset val="134"/>
          </rPr>
          <t>GXN:</t>
        </r>
        <r>
          <rPr>
            <sz val="9"/>
            <rFont val="宋体"/>
            <charset val="134"/>
          </rPr>
          <t xml:space="preserve">
销售明细表中首付60万，按揭1342909元，截止2018.10。30日已付款共计60万，2018.12.24恒祥房地产开具收据，代收代钦润3万元，该3万款项性质为何，是否房款？</t>
        </r>
      </text>
    </comment>
    <comment ref="AB459" authorId="5">
      <text>
        <r>
          <rPr>
            <b/>
            <sz val="9"/>
            <rFont val="宋体"/>
            <charset val="134"/>
          </rPr>
          <t>GXN:</t>
        </r>
        <r>
          <rPr>
            <sz val="9"/>
            <rFont val="宋体"/>
            <charset val="134"/>
          </rPr>
          <t xml:space="preserve">
契税+中介费</t>
        </r>
      </text>
    </comment>
    <comment ref="AC461" authorId="5">
      <text>
        <r>
          <rPr>
            <b/>
            <sz val="9"/>
            <rFont val="宋体"/>
            <charset val="134"/>
          </rPr>
          <t>GXN:</t>
        </r>
        <r>
          <rPr>
            <sz val="9"/>
            <rFont val="宋体"/>
            <charset val="134"/>
          </rPr>
          <t xml:space="preserve">
银行利息</t>
        </r>
      </text>
    </comment>
    <comment ref="J478" authorId="5">
      <text>
        <r>
          <rPr>
            <b/>
            <sz val="9"/>
            <rFont val="宋体"/>
            <charset val="134"/>
          </rPr>
          <t>GXN:</t>
        </r>
        <r>
          <rPr>
            <sz val="9"/>
            <rFont val="宋体"/>
            <charset val="134"/>
          </rPr>
          <t xml:space="preserve">
销售明细表为2201</t>
        </r>
      </text>
    </comment>
    <comment ref="K478" authorId="5">
      <text>
        <r>
          <rPr>
            <b/>
            <sz val="9"/>
            <rFont val="宋体"/>
            <charset val="134"/>
          </rPr>
          <t>GXN:</t>
        </r>
        <r>
          <rPr>
            <sz val="9"/>
            <rFont val="宋体"/>
            <charset val="134"/>
          </rPr>
          <t xml:space="preserve">
销售明细表149.28</t>
        </r>
      </text>
    </comment>
    <comment ref="AB522" authorId="5">
      <text>
        <r>
          <rPr>
            <b/>
            <sz val="9"/>
            <rFont val="宋体"/>
            <charset val="134"/>
          </rPr>
          <t>GXN:</t>
        </r>
        <r>
          <rPr>
            <sz val="9"/>
            <rFont val="宋体"/>
            <charset val="134"/>
          </rPr>
          <t xml:space="preserve">
中介费+契税</t>
        </r>
      </text>
    </comment>
    <comment ref="AB536" authorId="1">
      <text>
        <r>
          <rPr>
            <b/>
            <sz val="9"/>
            <rFont val="宋体"/>
            <charset val="134"/>
          </rPr>
          <t>Administrator:</t>
        </r>
        <r>
          <rPr>
            <sz val="9"/>
            <rFont val="宋体"/>
            <charset val="134"/>
          </rPr>
          <t xml:space="preserve">
按揭服务费</t>
        </r>
      </text>
    </comment>
    <comment ref="J604" authorId="5">
      <text>
        <r>
          <rPr>
            <b/>
            <sz val="9"/>
            <rFont val="宋体"/>
            <charset val="134"/>
          </rPr>
          <t>GXN:</t>
        </r>
        <r>
          <rPr>
            <sz val="9"/>
            <rFont val="宋体"/>
            <charset val="134"/>
          </rPr>
          <t xml:space="preserve">
内部团购预约保留书1411，台账1401</t>
        </r>
      </text>
    </comment>
    <comment ref="AB688" authorId="1">
      <text>
        <r>
          <rPr>
            <b/>
            <sz val="9"/>
            <rFont val="宋体"/>
            <charset val="134"/>
          </rPr>
          <t>Administrator:</t>
        </r>
        <r>
          <rPr>
            <sz val="9"/>
            <rFont val="宋体"/>
            <charset val="134"/>
          </rPr>
          <t xml:space="preserve">
按揭费</t>
        </r>
      </text>
    </comment>
    <comment ref="AB694" authorId="1">
      <text>
        <r>
          <rPr>
            <b/>
            <sz val="9"/>
            <rFont val="宋体"/>
            <charset val="134"/>
          </rPr>
          <t>Administrator:</t>
        </r>
        <r>
          <rPr>
            <sz val="9"/>
            <rFont val="宋体"/>
            <charset val="134"/>
          </rPr>
          <t xml:space="preserve">
按揭服务费1000元，抵押登记费550元，印花税35元</t>
        </r>
      </text>
    </comment>
    <comment ref="AB696" authorId="1">
      <text>
        <r>
          <rPr>
            <b/>
            <sz val="9"/>
            <rFont val="宋体"/>
            <charset val="134"/>
          </rPr>
          <t>Administrator:</t>
        </r>
        <r>
          <rPr>
            <sz val="9"/>
            <rFont val="宋体"/>
            <charset val="134"/>
          </rPr>
          <t xml:space="preserve">
会员增值服务费3000，诚意金2万元</t>
        </r>
      </text>
    </comment>
    <comment ref="P697" authorId="1">
      <text>
        <r>
          <rPr>
            <b/>
            <sz val="9"/>
            <rFont val="宋体"/>
            <charset val="134"/>
          </rPr>
          <t xml:space="preserve">Administrator:
</t>
        </r>
        <r>
          <rPr>
            <sz val="9"/>
            <rFont val="宋体"/>
            <charset val="134"/>
          </rPr>
          <t>申报填写712900元</t>
        </r>
      </text>
    </comment>
  </commentList>
</comments>
</file>

<file path=xl/comments2.xml><?xml version="1.0" encoding="utf-8"?>
<comments xmlns="http://schemas.openxmlformats.org/spreadsheetml/2006/main">
  <authors>
    <author>全玉霞</author>
    <author>Administrator</author>
  </authors>
  <commentList>
    <comment ref="L1" authorId="0">
      <text>
        <r>
          <rPr>
            <b/>
            <sz val="9"/>
            <rFont val="宋体"/>
            <charset val="134"/>
          </rPr>
          <t>全玉霞:</t>
        </r>
        <r>
          <rPr>
            <sz val="9"/>
            <rFont val="宋体"/>
            <charset val="134"/>
          </rPr>
          <t xml:space="preserve">
当申报金额与核实金额有差异时需详细说明</t>
        </r>
      </text>
    </comment>
    <comment ref="F10" authorId="1">
      <text>
        <r>
          <rPr>
            <b/>
            <sz val="9"/>
            <rFont val="宋体"/>
            <charset val="134"/>
          </rPr>
          <t>Administrator:</t>
        </r>
        <r>
          <rPr>
            <sz val="9"/>
            <rFont val="宋体"/>
            <charset val="134"/>
          </rPr>
          <t xml:space="preserve">
共33个车位</t>
        </r>
      </text>
    </comment>
    <comment ref="O10" authorId="1">
      <text>
        <r>
          <rPr>
            <b/>
            <sz val="9"/>
            <rFont val="宋体"/>
            <charset val="134"/>
          </rPr>
          <t>Administrator:</t>
        </r>
        <r>
          <rPr>
            <sz val="9"/>
            <rFont val="宋体"/>
            <charset val="134"/>
          </rPr>
          <t xml:space="preserve">
十个债权人和恒祥房地产于2018年6月21日签订还款协议，2018.6.21-11.21违约利息1356411,陆续还款610万，2019年7月2日车位抵债306万，2019年9月5日车位抵债255万，剩余债务13869.</t>
        </r>
      </text>
    </comment>
    <comment ref="I23" authorId="1">
      <text>
        <r>
          <rPr>
            <b/>
            <sz val="9"/>
            <rFont val="宋体"/>
            <charset val="134"/>
          </rPr>
          <t xml:space="preserve">Administrator
</t>
        </r>
        <r>
          <rPr>
            <sz val="9"/>
            <rFont val="宋体"/>
            <charset val="134"/>
          </rPr>
          <t>代付</t>
        </r>
      </text>
    </comment>
    <comment ref="I24" authorId="1">
      <text>
        <r>
          <rPr>
            <b/>
            <sz val="9"/>
            <rFont val="宋体"/>
            <charset val="134"/>
          </rPr>
          <t>Administrator:</t>
        </r>
        <r>
          <rPr>
            <sz val="9"/>
            <rFont val="宋体"/>
            <charset val="134"/>
          </rPr>
          <t xml:space="preserve">
代付</t>
        </r>
      </text>
    </comment>
  </commentList>
</comments>
</file>

<file path=xl/comments3.xml><?xml version="1.0" encoding="utf-8"?>
<comments xmlns="http://schemas.openxmlformats.org/spreadsheetml/2006/main">
  <authors>
    <author>lenovo</author>
    <author>全玉霞</author>
    <author>Administrator</author>
    <author>n'k'k</author>
    <author>GXN</author>
  </authors>
  <commentList>
    <comment ref="AD1" authorId="0">
      <text>
        <r>
          <rPr>
            <b/>
            <sz val="9"/>
            <rFont val="宋体"/>
            <charset val="134"/>
          </rPr>
          <t>lenovo:</t>
        </r>
        <r>
          <rPr>
            <sz val="9"/>
            <rFont val="宋体"/>
            <charset val="134"/>
          </rPr>
          <t xml:space="preserve">
延期交房利息+违约金</t>
        </r>
      </text>
    </comment>
    <comment ref="AI1" authorId="1">
      <text>
        <r>
          <rPr>
            <b/>
            <sz val="9"/>
            <rFont val="宋体"/>
            <charset val="134"/>
          </rPr>
          <t>全玉霞:</t>
        </r>
        <r>
          <rPr>
            <sz val="9"/>
            <rFont val="宋体"/>
            <charset val="134"/>
          </rPr>
          <t xml:space="preserve">
当申报金额与核实金额有差异时需详细说明</t>
        </r>
      </text>
    </comment>
    <comment ref="X5" authorId="1">
      <text>
        <r>
          <rPr>
            <b/>
            <sz val="9"/>
            <rFont val="宋体"/>
            <charset val="134"/>
          </rPr>
          <t>全玉霞:</t>
        </r>
        <r>
          <rPr>
            <sz val="9"/>
            <rFont val="宋体"/>
            <charset val="134"/>
          </rPr>
          <t xml:space="preserve">
多交需退还金额</t>
        </r>
      </text>
    </comment>
    <comment ref="H13" authorId="2">
      <text>
        <r>
          <rPr>
            <b/>
            <sz val="9"/>
            <rFont val="宋体"/>
            <charset val="134"/>
          </rPr>
          <t>Administrator:</t>
        </r>
        <r>
          <rPr>
            <sz val="9"/>
            <rFont val="宋体"/>
            <charset val="134"/>
          </rPr>
          <t xml:space="preserve">
恒祥销控表上23.49
</t>
        </r>
      </text>
    </comment>
    <comment ref="H16" authorId="2">
      <text>
        <r>
          <rPr>
            <b/>
            <sz val="9"/>
            <rFont val="宋体"/>
            <charset val="134"/>
          </rPr>
          <t>Administrator:</t>
        </r>
        <r>
          <rPr>
            <sz val="9"/>
            <rFont val="宋体"/>
            <charset val="134"/>
          </rPr>
          <t xml:space="preserve">
销控表原来面积：58.89</t>
        </r>
      </text>
    </comment>
    <comment ref="AC17" authorId="0">
      <text>
        <r>
          <rPr>
            <b/>
            <sz val="9"/>
            <rFont val="宋体"/>
            <charset val="134"/>
          </rPr>
          <t>lenovo:</t>
        </r>
        <r>
          <rPr>
            <sz val="9"/>
            <rFont val="宋体"/>
            <charset val="134"/>
          </rPr>
          <t xml:space="preserve">
中介费</t>
        </r>
      </text>
    </comment>
    <comment ref="AC27" authorId="0">
      <text>
        <r>
          <rPr>
            <b/>
            <sz val="9"/>
            <rFont val="宋体"/>
            <charset val="134"/>
          </rPr>
          <t>lenovo:</t>
        </r>
        <r>
          <rPr>
            <sz val="9"/>
            <rFont val="宋体"/>
            <charset val="134"/>
          </rPr>
          <t xml:space="preserve">
中介费</t>
        </r>
      </text>
    </comment>
    <comment ref="AI31" authorId="2">
      <text>
        <r>
          <rPr>
            <b/>
            <sz val="9"/>
            <rFont val="宋体"/>
            <charset val="134"/>
          </rPr>
          <t>Administrator:</t>
        </r>
        <r>
          <rPr>
            <sz val="9"/>
            <rFont val="宋体"/>
            <charset val="134"/>
          </rPr>
          <t xml:space="preserve">
李翠玲申报金额未计算产权登记费</t>
        </r>
      </text>
    </comment>
    <comment ref="AI32" authorId="2">
      <text>
        <r>
          <rPr>
            <b/>
            <sz val="9"/>
            <rFont val="宋体"/>
            <charset val="134"/>
          </rPr>
          <t>Administrator:</t>
        </r>
        <r>
          <rPr>
            <sz val="9"/>
            <rFont val="宋体"/>
            <charset val="134"/>
          </rPr>
          <t xml:space="preserve">
孙红梅计算的申报金额为491698元</t>
        </r>
      </text>
    </comment>
    <comment ref="AI33" authorId="2">
      <text>
        <r>
          <rPr>
            <b/>
            <sz val="9"/>
            <rFont val="宋体"/>
            <charset val="134"/>
          </rPr>
          <t>Administrator:</t>
        </r>
        <r>
          <rPr>
            <sz val="9"/>
            <rFont val="宋体"/>
            <charset val="134"/>
          </rPr>
          <t xml:space="preserve">
杨西利申报金额未加上产权登记费</t>
        </r>
      </text>
    </comment>
    <comment ref="AD38" authorId="0">
      <text>
        <r>
          <rPr>
            <b/>
            <sz val="9"/>
            <rFont val="宋体"/>
            <charset val="134"/>
          </rPr>
          <t>lenovo:</t>
        </r>
        <r>
          <rPr>
            <sz val="9"/>
            <rFont val="宋体"/>
            <charset val="134"/>
          </rPr>
          <t xml:space="preserve">
全玉霞:
债权人主张未支付的19万房款用租金抵扣，现咱不认定。
</t>
        </r>
      </text>
    </comment>
    <comment ref="AJ38" authorId="1">
      <text>
        <r>
          <rPr>
            <b/>
            <sz val="9"/>
            <rFont val="宋体"/>
            <charset val="134"/>
          </rPr>
          <t>全玉霞:</t>
        </r>
        <r>
          <rPr>
            <sz val="9"/>
            <rFont val="宋体"/>
            <charset val="134"/>
          </rPr>
          <t xml:space="preserve">
债权人主张未支付的19万房款用租金抵扣，现咱不认定。</t>
        </r>
      </text>
    </comment>
    <comment ref="Q68" authorId="2">
      <text>
        <r>
          <rPr>
            <b/>
            <sz val="9"/>
            <rFont val="宋体"/>
            <charset val="134"/>
          </rPr>
          <t>Administrator:</t>
        </r>
        <r>
          <rPr>
            <sz val="9"/>
            <rFont val="宋体"/>
            <charset val="134"/>
          </rPr>
          <t xml:space="preserve">
申报单价3万元</t>
        </r>
      </text>
    </comment>
    <comment ref="B70" authorId="3">
      <text>
        <r>
          <rPr>
            <b/>
            <sz val="9"/>
            <rFont val="宋体"/>
            <charset val="134"/>
          </rPr>
          <t>n'k'k:</t>
        </r>
        <r>
          <rPr>
            <sz val="9"/>
            <rFont val="宋体"/>
            <charset val="134"/>
          </rPr>
          <t xml:space="preserve">
债权申报人为贺瑞兰</t>
        </r>
      </text>
    </comment>
    <comment ref="AC72" authorId="3">
      <text>
        <r>
          <rPr>
            <b/>
            <sz val="9"/>
            <rFont val="宋体"/>
            <charset val="134"/>
          </rPr>
          <t>n'k'k:</t>
        </r>
        <r>
          <rPr>
            <sz val="9"/>
            <rFont val="宋体"/>
            <charset val="134"/>
          </rPr>
          <t xml:space="preserve">
公证费、印花税、中介费</t>
        </r>
      </text>
    </comment>
    <comment ref="AI72" authorId="3">
      <text>
        <r>
          <rPr>
            <b/>
            <sz val="9"/>
            <rFont val="宋体"/>
            <charset val="134"/>
          </rPr>
          <t>n'k'k:</t>
        </r>
        <r>
          <rPr>
            <sz val="9"/>
            <rFont val="宋体"/>
            <charset val="134"/>
          </rPr>
          <t xml:space="preserve">
产权登记费未申报，但提供了收据</t>
        </r>
      </text>
    </comment>
    <comment ref="R80" authorId="2">
      <text>
        <r>
          <rPr>
            <b/>
            <sz val="9"/>
            <rFont val="宋体"/>
            <charset val="134"/>
          </rPr>
          <t>Administrator:</t>
        </r>
        <r>
          <rPr>
            <sz val="9"/>
            <rFont val="宋体"/>
            <charset val="134"/>
          </rPr>
          <t xml:space="preserve">
申报填写的合同房款：859360元
</t>
        </r>
      </text>
    </comment>
    <comment ref="R81" authorId="2">
      <text>
        <r>
          <rPr>
            <b/>
            <sz val="9"/>
            <rFont val="宋体"/>
            <charset val="134"/>
          </rPr>
          <t>Administrator:</t>
        </r>
        <r>
          <rPr>
            <sz val="9"/>
            <rFont val="宋体"/>
            <charset val="134"/>
          </rPr>
          <t xml:space="preserve">
申报填写的合同房款：859360元
</t>
        </r>
      </text>
    </comment>
    <comment ref="R82" authorId="2">
      <text>
        <r>
          <rPr>
            <b/>
            <sz val="9"/>
            <rFont val="宋体"/>
            <charset val="134"/>
          </rPr>
          <t>Administrator:</t>
        </r>
        <r>
          <rPr>
            <sz val="9"/>
            <rFont val="宋体"/>
            <charset val="134"/>
          </rPr>
          <t xml:space="preserve">
申报填写的合同房款：859360元
</t>
        </r>
      </text>
    </comment>
    <comment ref="R83" authorId="2">
      <text>
        <r>
          <rPr>
            <b/>
            <sz val="9"/>
            <rFont val="宋体"/>
            <charset val="134"/>
          </rPr>
          <t>Administrator:</t>
        </r>
        <r>
          <rPr>
            <sz val="9"/>
            <rFont val="宋体"/>
            <charset val="134"/>
          </rPr>
          <t xml:space="preserve">
申报填写的合同房款：859360元
</t>
        </r>
      </text>
    </comment>
    <comment ref="AC87" authorId="2">
      <text>
        <r>
          <rPr>
            <b/>
            <sz val="9"/>
            <rFont val="宋体"/>
            <charset val="134"/>
          </rPr>
          <t xml:space="preserve">Administrator:
</t>
        </r>
        <r>
          <rPr>
            <sz val="9"/>
            <rFont val="宋体"/>
            <charset val="134"/>
          </rPr>
          <t>中介费1000元
公证费220
印花税27</t>
        </r>
      </text>
    </comment>
    <comment ref="R88" authorId="2">
      <text>
        <r>
          <rPr>
            <b/>
            <sz val="9"/>
            <rFont val="宋体"/>
            <charset val="134"/>
          </rPr>
          <t>Administrator:</t>
        </r>
        <r>
          <rPr>
            <sz val="9"/>
            <rFont val="宋体"/>
            <charset val="134"/>
          </rPr>
          <t xml:space="preserve">
申报填写房款418440元</t>
        </r>
      </text>
    </comment>
    <comment ref="R90" authorId="2">
      <text>
        <r>
          <rPr>
            <b/>
            <sz val="9"/>
            <rFont val="宋体"/>
            <charset val="134"/>
          </rPr>
          <t>Administrator:</t>
        </r>
        <r>
          <rPr>
            <sz val="9"/>
            <rFont val="宋体"/>
            <charset val="134"/>
          </rPr>
          <t xml:space="preserve">
申报填写718210元</t>
        </r>
      </text>
    </comment>
    <comment ref="R93" authorId="2">
      <text>
        <r>
          <rPr>
            <b/>
            <sz val="9"/>
            <rFont val="宋体"/>
            <charset val="134"/>
          </rPr>
          <t>Administrator:</t>
        </r>
        <r>
          <rPr>
            <sz val="9"/>
            <rFont val="宋体"/>
            <charset val="134"/>
          </rPr>
          <t xml:space="preserve">
申报填写655819元</t>
        </r>
      </text>
    </comment>
    <comment ref="AC104" authorId="3">
      <text>
        <r>
          <rPr>
            <b/>
            <sz val="9"/>
            <rFont val="宋体"/>
            <charset val="134"/>
          </rPr>
          <t>n'k'k:</t>
        </r>
        <r>
          <rPr>
            <sz val="9"/>
            <rFont val="宋体"/>
            <charset val="134"/>
          </rPr>
          <t xml:space="preserve">
服务费+公证费，无收据</t>
        </r>
      </text>
    </comment>
    <comment ref="AE116" authorId="2">
      <text>
        <r>
          <rPr>
            <b/>
            <sz val="9"/>
            <rFont val="宋体"/>
            <charset val="134"/>
          </rPr>
          <t>Administrator:</t>
        </r>
        <r>
          <rPr>
            <sz val="9"/>
            <rFont val="宋体"/>
            <charset val="134"/>
          </rPr>
          <t xml:space="preserve">
补交房款+维修基金+产权登记费，没有收据，且账面无次数据，需补充资料
</t>
        </r>
      </text>
    </comment>
    <comment ref="AE123" authorId="2">
      <text>
        <r>
          <rPr>
            <b/>
            <sz val="9"/>
            <rFont val="宋体"/>
            <charset val="134"/>
          </rPr>
          <t>Administrator:</t>
        </r>
        <r>
          <rPr>
            <sz val="9"/>
            <rFont val="宋体"/>
            <charset val="134"/>
          </rPr>
          <t xml:space="preserve">
收据不清晰，附银行流水363551元，比销控表多76元</t>
        </r>
      </text>
    </comment>
    <comment ref="AD135" authorId="2">
      <text>
        <r>
          <rPr>
            <b/>
            <sz val="9"/>
            <rFont val="宋体"/>
            <charset val="134"/>
          </rPr>
          <t>Administrator:</t>
        </r>
        <r>
          <rPr>
            <sz val="9"/>
            <rFont val="宋体"/>
            <charset val="134"/>
          </rPr>
          <t xml:space="preserve">
75万本金+利息106756.25</t>
        </r>
      </text>
    </comment>
    <comment ref="AI135" authorId="2">
      <text>
        <r>
          <rPr>
            <b/>
            <sz val="9"/>
            <rFont val="宋体"/>
            <charset val="134"/>
          </rPr>
          <t>Administrator:</t>
        </r>
        <r>
          <rPr>
            <sz val="9"/>
            <rFont val="宋体"/>
            <charset val="134"/>
          </rPr>
          <t xml:space="preserve">
75万本金+利息106756.25</t>
        </r>
      </text>
    </comment>
    <comment ref="AC149" authorId="3">
      <text>
        <r>
          <rPr>
            <b/>
            <sz val="9"/>
            <rFont val="宋体"/>
            <charset val="134"/>
          </rPr>
          <t>n'k'k:</t>
        </r>
        <r>
          <rPr>
            <sz val="9"/>
            <rFont val="宋体"/>
            <charset val="134"/>
          </rPr>
          <t xml:space="preserve">
手续费</t>
        </r>
      </text>
    </comment>
    <comment ref="X196" authorId="2">
      <text>
        <r>
          <rPr>
            <b/>
            <sz val="9"/>
            <rFont val="宋体"/>
            <charset val="134"/>
          </rPr>
          <t>Administrator:</t>
        </r>
        <r>
          <rPr>
            <sz val="9"/>
            <rFont val="宋体"/>
            <charset val="134"/>
          </rPr>
          <t xml:space="preserve">
尾款补款</t>
        </r>
      </text>
    </comment>
    <comment ref="AF202" authorId="2">
      <text>
        <r>
          <rPr>
            <b/>
            <sz val="9"/>
            <rFont val="宋体"/>
            <charset val="134"/>
          </rPr>
          <t>Administrator:</t>
        </r>
        <r>
          <rPr>
            <sz val="9"/>
            <rFont val="宋体"/>
            <charset val="134"/>
          </rPr>
          <t xml:space="preserve">
提供单据不清楚</t>
        </r>
      </text>
    </comment>
    <comment ref="AC216" authorId="0">
      <text>
        <r>
          <rPr>
            <b/>
            <sz val="9"/>
            <rFont val="宋体"/>
            <charset val="134"/>
          </rPr>
          <t>lenovo:未见收据</t>
        </r>
      </text>
    </comment>
    <comment ref="R242" authorId="2">
      <text>
        <r>
          <rPr>
            <b/>
            <sz val="9"/>
            <rFont val="宋体"/>
            <charset val="134"/>
          </rPr>
          <t>Administrator:</t>
        </r>
        <r>
          <rPr>
            <sz val="9"/>
            <rFont val="宋体"/>
            <charset val="134"/>
          </rPr>
          <t xml:space="preserve">
580928+补交款32296=615100</t>
        </r>
      </text>
    </comment>
    <comment ref="AJ242" authorId="2">
      <text>
        <r>
          <rPr>
            <b/>
            <sz val="9"/>
            <rFont val="宋体"/>
            <charset val="134"/>
          </rPr>
          <t>Administrator:</t>
        </r>
        <r>
          <rPr>
            <sz val="9"/>
            <rFont val="宋体"/>
            <charset val="134"/>
          </rPr>
          <t xml:space="preserve">
业主没有加上维修基金1326和登记费550</t>
        </r>
      </text>
    </comment>
    <comment ref="AI257" authorId="2">
      <text>
        <r>
          <rPr>
            <b/>
            <sz val="9"/>
            <rFont val="宋体"/>
            <charset val="134"/>
          </rPr>
          <t>Administrator:</t>
        </r>
        <r>
          <rPr>
            <sz val="9"/>
            <rFont val="宋体"/>
            <charset val="134"/>
          </rPr>
          <t xml:space="preserve">
严东华债权登记表上写的已付房款37.65万，提供的房款收据为375368元，按收据认定</t>
        </r>
      </text>
    </comment>
    <comment ref="W276" authorId="0">
      <text>
        <r>
          <rPr>
            <b/>
            <sz val="9"/>
            <rFont val="宋体"/>
            <charset val="134"/>
          </rPr>
          <t>lenovo:</t>
        </r>
        <r>
          <rPr>
            <sz val="9"/>
            <rFont val="宋体"/>
            <charset val="134"/>
          </rPr>
          <t xml:space="preserve">
表格金额为560，收据金额为550</t>
        </r>
      </text>
    </comment>
    <comment ref="C277" authorId="2">
      <text>
        <r>
          <rPr>
            <b/>
            <sz val="9"/>
            <rFont val="宋体"/>
            <charset val="134"/>
          </rPr>
          <t>Administrator:</t>
        </r>
        <r>
          <rPr>
            <sz val="9"/>
            <rFont val="宋体"/>
            <charset val="134"/>
          </rPr>
          <t xml:space="preserve">
身份证412928196708133169</t>
        </r>
      </text>
    </comment>
    <comment ref="B281" authorId="2">
      <text>
        <r>
          <rPr>
            <b/>
            <sz val="9"/>
            <rFont val="宋体"/>
            <charset val="134"/>
          </rPr>
          <t>Administrator:</t>
        </r>
        <r>
          <rPr>
            <sz val="9"/>
            <rFont val="宋体"/>
            <charset val="134"/>
          </rPr>
          <t xml:space="preserve">
销售台账姓名为和飞亚</t>
        </r>
      </text>
    </comment>
    <comment ref="AI298" authorId="2">
      <text>
        <r>
          <rPr>
            <b/>
            <sz val="9"/>
            <rFont val="宋体"/>
            <charset val="134"/>
          </rPr>
          <t>Administrator:</t>
        </r>
        <r>
          <rPr>
            <sz val="9"/>
            <rFont val="宋体"/>
            <charset val="134"/>
          </rPr>
          <t xml:space="preserve">
债权登记表已付房款411635与收据410184不一致，按收据金额计算</t>
        </r>
      </text>
    </comment>
    <comment ref="AE330" authorId="2">
      <text>
        <r>
          <rPr>
            <b/>
            <sz val="9"/>
            <rFont val="宋体"/>
            <charset val="134"/>
          </rPr>
          <t>Administrator:</t>
        </r>
        <r>
          <rPr>
            <sz val="9"/>
            <rFont val="宋体"/>
            <charset val="134"/>
          </rPr>
          <t xml:space="preserve">
重复计算了维修基金和产权登记费</t>
        </r>
      </text>
    </comment>
    <comment ref="R369" authorId="2">
      <text>
        <r>
          <rPr>
            <b/>
            <sz val="9"/>
            <rFont val="宋体"/>
            <charset val="134"/>
          </rPr>
          <t>Administrator:</t>
        </r>
        <r>
          <rPr>
            <sz val="9"/>
            <rFont val="宋体"/>
            <charset val="134"/>
          </rPr>
          <t xml:space="preserve">
申报填写69万元</t>
        </r>
      </text>
    </comment>
    <comment ref="R371" authorId="2">
      <text>
        <r>
          <rPr>
            <b/>
            <sz val="9"/>
            <rFont val="宋体"/>
            <charset val="134"/>
          </rPr>
          <t>Administrator:</t>
        </r>
        <r>
          <rPr>
            <sz val="9"/>
            <rFont val="宋体"/>
            <charset val="134"/>
          </rPr>
          <t xml:space="preserve">
申报填写739999.96元</t>
        </r>
      </text>
    </comment>
    <comment ref="R373" authorId="2">
      <text>
        <r>
          <rPr>
            <b/>
            <sz val="9"/>
            <rFont val="宋体"/>
            <charset val="134"/>
          </rPr>
          <t>Administrator:</t>
        </r>
        <r>
          <rPr>
            <sz val="9"/>
            <rFont val="宋体"/>
            <charset val="134"/>
          </rPr>
          <t xml:space="preserve">
申报填写99万元</t>
        </r>
      </text>
    </comment>
    <comment ref="T373" authorId="2">
      <text>
        <r>
          <rPr>
            <b/>
            <sz val="9"/>
            <rFont val="宋体"/>
            <charset val="134"/>
          </rPr>
          <t>Administrator:</t>
        </r>
        <r>
          <rPr>
            <sz val="9"/>
            <rFont val="宋体"/>
            <charset val="134"/>
          </rPr>
          <t xml:space="preserve">
申报填写未付483185元</t>
        </r>
      </text>
    </comment>
    <comment ref="AC373" authorId="2">
      <text>
        <r>
          <rPr>
            <b/>
            <sz val="9"/>
            <rFont val="宋体"/>
            <charset val="134"/>
          </rPr>
          <t>Administrator:</t>
        </r>
        <r>
          <rPr>
            <sz val="9"/>
            <rFont val="宋体"/>
            <charset val="134"/>
          </rPr>
          <t xml:space="preserve">
中介费1千元，公证费220元，印花税40元</t>
        </r>
      </text>
    </comment>
    <comment ref="R385" authorId="2">
      <text>
        <r>
          <rPr>
            <b/>
            <sz val="9"/>
            <rFont val="宋体"/>
            <charset val="134"/>
          </rPr>
          <t>Administrator:</t>
        </r>
        <r>
          <rPr>
            <sz val="9"/>
            <rFont val="宋体"/>
            <charset val="134"/>
          </rPr>
          <t xml:space="preserve">
申报填写455950元</t>
        </r>
      </text>
    </comment>
    <comment ref="T385" authorId="2">
      <text>
        <r>
          <rPr>
            <b/>
            <sz val="9"/>
            <rFont val="宋体"/>
            <charset val="134"/>
          </rPr>
          <t>Administrator:</t>
        </r>
        <r>
          <rPr>
            <sz val="9"/>
            <rFont val="宋体"/>
            <charset val="134"/>
          </rPr>
          <t xml:space="preserve">
申报填写194903元</t>
        </r>
      </text>
    </comment>
    <comment ref="R386" authorId="2">
      <text>
        <r>
          <rPr>
            <b/>
            <sz val="9"/>
            <rFont val="宋体"/>
            <charset val="134"/>
          </rPr>
          <t>Administrator:</t>
        </r>
        <r>
          <rPr>
            <sz val="9"/>
            <rFont val="宋体"/>
            <charset val="134"/>
          </rPr>
          <t xml:space="preserve">
申报填写611285元</t>
        </r>
      </text>
    </comment>
    <comment ref="R396" authorId="2">
      <text>
        <r>
          <rPr>
            <b/>
            <sz val="9"/>
            <rFont val="宋体"/>
            <charset val="134"/>
          </rPr>
          <t>Administrator:</t>
        </r>
        <r>
          <rPr>
            <sz val="9"/>
            <rFont val="宋体"/>
            <charset val="134"/>
          </rPr>
          <t xml:space="preserve">
申报填写1460058元</t>
        </r>
      </text>
    </comment>
    <comment ref="S397" authorId="1">
      <text>
        <r>
          <rPr>
            <b/>
            <sz val="9"/>
            <rFont val="宋体"/>
            <charset val="134"/>
          </rPr>
          <t>全玉霞:</t>
        </r>
        <r>
          <rPr>
            <sz val="9"/>
            <rFont val="宋体"/>
            <charset val="134"/>
          </rPr>
          <t xml:space="preserve">
46044转入问道房地产，其余转恒祥实业</t>
        </r>
      </text>
    </comment>
    <comment ref="AE416" authorId="2">
      <text>
        <r>
          <rPr>
            <b/>
            <sz val="9"/>
            <rFont val="宋体"/>
            <charset val="134"/>
          </rPr>
          <t>Administrator:</t>
        </r>
        <r>
          <rPr>
            <sz val="9"/>
            <rFont val="宋体"/>
            <charset val="134"/>
          </rPr>
          <t xml:space="preserve">
郎玉新申报房款296467元（附收据），比销控表少3382元</t>
        </r>
      </text>
    </comment>
    <comment ref="AI416" authorId="1">
      <text>
        <r>
          <rPr>
            <b/>
            <sz val="9"/>
            <rFont val="宋体"/>
            <charset val="134"/>
          </rPr>
          <t>全玉霞:</t>
        </r>
        <r>
          <rPr>
            <sz val="9"/>
            <rFont val="宋体"/>
            <charset val="134"/>
          </rPr>
          <t xml:space="preserve">
销售明细的首付款金额比收据多3382元</t>
        </r>
      </text>
    </comment>
    <comment ref="R420" authorId="2">
      <text>
        <r>
          <rPr>
            <b/>
            <sz val="9"/>
            <rFont val="宋体"/>
            <charset val="134"/>
          </rPr>
          <t>Administrator:</t>
        </r>
        <r>
          <rPr>
            <sz val="9"/>
            <rFont val="宋体"/>
            <charset val="134"/>
          </rPr>
          <t xml:space="preserve">
申报填写710547元</t>
        </r>
      </text>
    </comment>
    <comment ref="R424" authorId="2">
      <text>
        <r>
          <rPr>
            <b/>
            <sz val="9"/>
            <rFont val="宋体"/>
            <charset val="134"/>
          </rPr>
          <t>Administrator:</t>
        </r>
        <r>
          <rPr>
            <sz val="9"/>
            <rFont val="宋体"/>
            <charset val="134"/>
          </rPr>
          <t xml:space="preserve">
申报填写766728元</t>
        </r>
      </text>
    </comment>
    <comment ref="AC426" authorId="2">
      <text>
        <r>
          <rPr>
            <b/>
            <sz val="9"/>
            <rFont val="宋体"/>
            <charset val="134"/>
          </rPr>
          <t>Administrator:</t>
        </r>
        <r>
          <rPr>
            <sz val="9"/>
            <rFont val="宋体"/>
            <charset val="134"/>
          </rPr>
          <t xml:space="preserve">
中介费、公证费、印花税</t>
        </r>
      </text>
    </comment>
    <comment ref="AE448" authorId="2">
      <text>
        <r>
          <rPr>
            <b/>
            <sz val="9"/>
            <rFont val="宋体"/>
            <charset val="134"/>
          </rPr>
          <t>Administrator:</t>
        </r>
        <r>
          <rPr>
            <sz val="9"/>
            <rFont val="宋体"/>
            <charset val="134"/>
          </rPr>
          <t xml:space="preserve">
重复计算
</t>
        </r>
      </text>
    </comment>
    <comment ref="AI448" authorId="0">
      <text>
        <r>
          <rPr>
            <b/>
            <sz val="9"/>
            <rFont val="宋体"/>
            <charset val="134"/>
          </rPr>
          <t>lenovo:</t>
        </r>
        <r>
          <rPr>
            <sz val="9"/>
            <rFont val="宋体"/>
            <charset val="134"/>
          </rPr>
          <t xml:space="preserve">
房屋面积增加5895元</t>
        </r>
      </text>
    </comment>
    <comment ref="AI465" authorId="0">
      <text>
        <r>
          <rPr>
            <b/>
            <sz val="9"/>
            <rFont val="宋体"/>
            <charset val="134"/>
          </rPr>
          <t>lenovo:</t>
        </r>
        <r>
          <rPr>
            <sz val="9"/>
            <rFont val="宋体"/>
            <charset val="134"/>
          </rPr>
          <t xml:space="preserve">
申报流水22264登记重复</t>
        </r>
      </text>
    </comment>
    <comment ref="AI473" authorId="2">
      <text>
        <r>
          <rPr>
            <b/>
            <sz val="9"/>
            <rFont val="宋体"/>
            <charset val="134"/>
          </rPr>
          <t>Administrator:</t>
        </r>
        <r>
          <rPr>
            <sz val="9"/>
            <rFont val="宋体"/>
            <charset val="134"/>
          </rPr>
          <t xml:space="preserve">
宋利敏申报手续费5886元，5886元已计入房款收据金额。宋利敏总申报金额填写445222元
</t>
        </r>
      </text>
    </comment>
    <comment ref="AE480" authorId="2">
      <text>
        <r>
          <rPr>
            <b/>
            <sz val="9"/>
            <rFont val="宋体"/>
            <charset val="134"/>
          </rPr>
          <t>Administrator:</t>
        </r>
        <r>
          <rPr>
            <sz val="9"/>
            <rFont val="宋体"/>
            <charset val="134"/>
          </rPr>
          <t xml:space="preserve">
转账记录比收据多190元
</t>
        </r>
      </text>
    </comment>
    <comment ref="R506" authorId="2">
      <text>
        <r>
          <rPr>
            <b/>
            <sz val="9"/>
            <rFont val="宋体"/>
            <charset val="134"/>
          </rPr>
          <t>Administrator:</t>
        </r>
        <r>
          <rPr>
            <sz val="9"/>
            <rFont val="宋体"/>
            <charset val="134"/>
          </rPr>
          <t xml:space="preserve">
申报填写62万</t>
        </r>
      </text>
    </comment>
    <comment ref="R507" authorId="2">
      <text>
        <r>
          <rPr>
            <b/>
            <sz val="9"/>
            <rFont val="宋体"/>
            <charset val="134"/>
          </rPr>
          <t>Administrator:</t>
        </r>
        <r>
          <rPr>
            <sz val="9"/>
            <rFont val="宋体"/>
            <charset val="134"/>
          </rPr>
          <t xml:space="preserve">
申报填写903833元</t>
        </r>
      </text>
    </comment>
    <comment ref="T507" authorId="2">
      <text>
        <r>
          <rPr>
            <b/>
            <sz val="9"/>
            <rFont val="宋体"/>
            <charset val="134"/>
          </rPr>
          <t>Administrator:</t>
        </r>
        <r>
          <rPr>
            <sz val="9"/>
            <rFont val="宋体"/>
            <charset val="134"/>
          </rPr>
          <t xml:space="preserve">
申报填写458077元</t>
        </r>
      </text>
    </comment>
    <comment ref="X510" authorId="3">
      <text>
        <r>
          <rPr>
            <b/>
            <sz val="9"/>
            <rFont val="宋体"/>
            <charset val="134"/>
          </rPr>
          <t>n'k'k:</t>
        </r>
        <r>
          <rPr>
            <sz val="9"/>
            <rFont val="宋体"/>
            <charset val="134"/>
          </rPr>
          <t xml:space="preserve">
销控表无，有收据，账面收款包含该金额。债权申报资料暂未填写</t>
        </r>
      </text>
    </comment>
    <comment ref="R515" authorId="2">
      <text>
        <r>
          <rPr>
            <b/>
            <sz val="9"/>
            <rFont val="宋体"/>
            <charset val="134"/>
          </rPr>
          <t>Administrator:</t>
        </r>
        <r>
          <rPr>
            <sz val="9"/>
            <rFont val="宋体"/>
            <charset val="134"/>
          </rPr>
          <t xml:space="preserve">
申报填写108万元</t>
        </r>
      </text>
    </comment>
    <comment ref="V520" authorId="3">
      <text>
        <r>
          <rPr>
            <b/>
            <sz val="9"/>
            <rFont val="宋体"/>
            <charset val="134"/>
          </rPr>
          <t>n'k'k:</t>
        </r>
        <r>
          <rPr>
            <sz val="9"/>
            <rFont val="宋体"/>
            <charset val="134"/>
          </rPr>
          <t xml:space="preserve">
申报表填错为1175元</t>
        </r>
      </text>
    </comment>
    <comment ref="R542" authorId="2">
      <text>
        <r>
          <rPr>
            <b/>
            <sz val="9"/>
            <rFont val="宋体"/>
            <charset val="134"/>
          </rPr>
          <t>Administrator:</t>
        </r>
        <r>
          <rPr>
            <sz val="9"/>
            <rFont val="宋体"/>
            <charset val="134"/>
          </rPr>
          <t xml:space="preserve">
申报填写373547元</t>
        </r>
      </text>
    </comment>
    <comment ref="R543" authorId="2">
      <text>
        <r>
          <rPr>
            <b/>
            <sz val="9"/>
            <rFont val="宋体"/>
            <charset val="134"/>
          </rPr>
          <t>Administrator:</t>
        </r>
        <r>
          <rPr>
            <sz val="9"/>
            <rFont val="宋体"/>
            <charset val="134"/>
          </rPr>
          <t xml:space="preserve">
申报填写349100元</t>
        </r>
      </text>
    </comment>
    <comment ref="R544" authorId="2">
      <text>
        <r>
          <rPr>
            <b/>
            <sz val="9"/>
            <rFont val="宋体"/>
            <charset val="134"/>
          </rPr>
          <t>Administrator:</t>
        </r>
        <r>
          <rPr>
            <sz val="9"/>
            <rFont val="宋体"/>
            <charset val="134"/>
          </rPr>
          <t xml:space="preserve">
申报填写356986元</t>
        </r>
      </text>
    </comment>
    <comment ref="AC547" authorId="3">
      <text>
        <r>
          <rPr>
            <b/>
            <sz val="9"/>
            <rFont val="宋体"/>
            <charset val="134"/>
          </rPr>
          <t>n'k'k:</t>
        </r>
        <r>
          <rPr>
            <sz val="9"/>
            <rFont val="宋体"/>
            <charset val="134"/>
          </rPr>
          <t xml:space="preserve">
中介费+印花税+公证费</t>
        </r>
      </text>
    </comment>
    <comment ref="S578" authorId="2">
      <text>
        <r>
          <rPr>
            <b/>
            <sz val="9"/>
            <rFont val="宋体"/>
            <charset val="134"/>
          </rPr>
          <t>Administrator:</t>
        </r>
        <r>
          <rPr>
            <sz val="9"/>
            <rFont val="宋体"/>
            <charset val="134"/>
          </rPr>
          <t xml:space="preserve">
申报填写1147410元</t>
        </r>
      </text>
    </comment>
    <comment ref="R579" authorId="2">
      <text>
        <r>
          <rPr>
            <b/>
            <sz val="9"/>
            <rFont val="宋体"/>
            <charset val="134"/>
          </rPr>
          <t>Administrator:</t>
        </r>
        <r>
          <rPr>
            <sz val="9"/>
            <rFont val="宋体"/>
            <charset val="134"/>
          </rPr>
          <t xml:space="preserve">
申报填写694034元</t>
        </r>
      </text>
    </comment>
    <comment ref="AC579" authorId="2">
      <text>
        <r>
          <rPr>
            <b/>
            <sz val="9"/>
            <rFont val="宋体"/>
            <charset val="134"/>
          </rPr>
          <t>Administrator:</t>
        </r>
        <r>
          <rPr>
            <sz val="9"/>
            <rFont val="宋体"/>
            <charset val="134"/>
          </rPr>
          <t xml:space="preserve">
中介费1000，印花税35.6，公证费220</t>
        </r>
      </text>
    </comment>
    <comment ref="AI591" authorId="1">
      <text>
        <r>
          <rPr>
            <b/>
            <sz val="9"/>
            <rFont val="宋体"/>
            <charset val="134"/>
          </rPr>
          <t>全玉霞:</t>
        </r>
        <r>
          <rPr>
            <sz val="9"/>
            <rFont val="宋体"/>
            <charset val="134"/>
          </rPr>
          <t xml:space="preserve">
本人申报金额（398590）未包含按揭款39万。</t>
        </r>
      </text>
    </comment>
    <comment ref="AI592" authorId="1">
      <text>
        <r>
          <rPr>
            <b/>
            <sz val="9"/>
            <rFont val="宋体"/>
            <charset val="134"/>
          </rPr>
          <t>全玉霞:</t>
        </r>
        <r>
          <rPr>
            <sz val="9"/>
            <rFont val="宋体"/>
            <charset val="134"/>
          </rPr>
          <t xml:space="preserve">
本人申报金额388450，未包含按揭款38万</t>
        </r>
      </text>
    </comment>
    <comment ref="R626" authorId="2">
      <text>
        <r>
          <rPr>
            <b/>
            <sz val="9"/>
            <rFont val="宋体"/>
            <charset val="134"/>
          </rPr>
          <t>Administrator:</t>
        </r>
        <r>
          <rPr>
            <sz val="9"/>
            <rFont val="宋体"/>
            <charset val="134"/>
          </rPr>
          <t xml:space="preserve">
申报填写565880元</t>
        </r>
      </text>
    </comment>
    <comment ref="R642" authorId="2">
      <text>
        <r>
          <rPr>
            <b/>
            <sz val="9"/>
            <rFont val="宋体"/>
            <charset val="134"/>
          </rPr>
          <t>Administrator:</t>
        </r>
        <r>
          <rPr>
            <sz val="9"/>
            <rFont val="宋体"/>
            <charset val="134"/>
          </rPr>
          <t xml:space="preserve">
申报填写415814元</t>
        </r>
      </text>
    </comment>
    <comment ref="R653" authorId="2">
      <text>
        <r>
          <rPr>
            <b/>
            <sz val="9"/>
            <rFont val="宋体"/>
            <charset val="134"/>
          </rPr>
          <t>Administrator:</t>
        </r>
        <r>
          <rPr>
            <sz val="9"/>
            <rFont val="宋体"/>
            <charset val="134"/>
          </rPr>
          <t xml:space="preserve">
申报填写688367.922元</t>
        </r>
      </text>
    </comment>
    <comment ref="R671" authorId="2">
      <text>
        <r>
          <rPr>
            <b/>
            <sz val="9"/>
            <rFont val="宋体"/>
            <charset val="134"/>
          </rPr>
          <t>Administrator:</t>
        </r>
        <r>
          <rPr>
            <sz val="9"/>
            <rFont val="宋体"/>
            <charset val="134"/>
          </rPr>
          <t xml:space="preserve">
申报填写421829元</t>
        </r>
      </text>
    </comment>
    <comment ref="R677" authorId="2">
      <text>
        <r>
          <rPr>
            <b/>
            <sz val="9"/>
            <rFont val="宋体"/>
            <charset val="134"/>
          </rPr>
          <t>Administrator:</t>
        </r>
        <r>
          <rPr>
            <sz val="9"/>
            <rFont val="宋体"/>
            <charset val="134"/>
          </rPr>
          <t xml:space="preserve">
申报填写721302元</t>
        </r>
      </text>
    </comment>
    <comment ref="X684" authorId="1">
      <text>
        <r>
          <rPr>
            <b/>
            <sz val="9"/>
            <rFont val="宋体"/>
            <charset val="134"/>
          </rPr>
          <t>全玉霞:</t>
        </r>
        <r>
          <rPr>
            <sz val="9"/>
            <rFont val="宋体"/>
            <charset val="134"/>
          </rPr>
          <t xml:space="preserve">
账面及收据为郭庆旭缴纳的2万元预约保留金，台账有应退郭庆旭2万定金记录。</t>
        </r>
      </text>
    </comment>
    <comment ref="AC684" authorId="1">
      <text>
        <r>
          <rPr>
            <b/>
            <sz val="9"/>
            <rFont val="宋体"/>
            <charset val="134"/>
          </rPr>
          <t>全玉霞:</t>
        </r>
        <r>
          <rPr>
            <sz val="9"/>
            <rFont val="宋体"/>
            <charset val="134"/>
          </rPr>
          <t xml:space="preserve">
其中：50000(转账备注为还款）、6314为转给闫世博，债权人主张为房款，692、550、21600、8000分别为转给周京京的维修基金、印花税工本费、契税和质保金，待核实闫世博、周京京收款后的去向</t>
        </r>
      </text>
    </comment>
    <comment ref="R692" authorId="2">
      <text>
        <r>
          <rPr>
            <b/>
            <sz val="9"/>
            <rFont val="宋体"/>
            <charset val="134"/>
          </rPr>
          <t>Administrator:</t>
        </r>
        <r>
          <rPr>
            <sz val="9"/>
            <rFont val="宋体"/>
            <charset val="134"/>
          </rPr>
          <t xml:space="preserve">
申报填写25825.47元</t>
        </r>
      </text>
    </comment>
    <comment ref="R703" authorId="2">
      <text>
        <r>
          <rPr>
            <b/>
            <sz val="9"/>
            <rFont val="宋体"/>
            <charset val="134"/>
          </rPr>
          <t>Administrator:</t>
        </r>
        <r>
          <rPr>
            <sz val="9"/>
            <rFont val="宋体"/>
            <charset val="134"/>
          </rPr>
          <t xml:space="preserve">
申报填写809100元</t>
        </r>
      </text>
    </comment>
    <comment ref="AC703" authorId="2">
      <text>
        <r>
          <rPr>
            <b/>
            <sz val="9"/>
            <rFont val="宋体"/>
            <charset val="134"/>
          </rPr>
          <t>Administrator:</t>
        </r>
        <r>
          <rPr>
            <sz val="9"/>
            <rFont val="宋体"/>
            <charset val="134"/>
          </rPr>
          <t xml:space="preserve">
中介费1000元；印花税26.1元，公证费220元</t>
        </r>
      </text>
    </comment>
    <comment ref="G713" authorId="4">
      <text>
        <r>
          <rPr>
            <b/>
            <sz val="9"/>
            <rFont val="宋体"/>
            <charset val="134"/>
          </rPr>
          <t>GXN:</t>
        </r>
        <r>
          <rPr>
            <sz val="9"/>
            <rFont val="宋体"/>
            <charset val="134"/>
          </rPr>
          <t xml:space="preserve">
销售明细表登记为425</t>
        </r>
      </text>
    </comment>
    <comment ref="AC714" authorId="2">
      <text>
        <r>
          <rPr>
            <b/>
            <sz val="9"/>
            <rFont val="宋体"/>
            <charset val="134"/>
          </rPr>
          <t>Administrator:</t>
        </r>
        <r>
          <rPr>
            <sz val="9"/>
            <rFont val="宋体"/>
            <charset val="134"/>
          </rPr>
          <t xml:space="preserve">
中介费1241.5元，另57元未写明
</t>
        </r>
      </text>
    </comment>
    <comment ref="AD717" authorId="2">
      <text>
        <r>
          <rPr>
            <b/>
            <sz val="9"/>
            <rFont val="宋体"/>
            <charset val="134"/>
          </rPr>
          <t>Administrator:</t>
        </r>
        <r>
          <rPr>
            <sz val="9"/>
            <rFont val="宋体"/>
            <charset val="134"/>
          </rPr>
          <t xml:space="preserve">
日违约金是总房款的万分之0.01</t>
        </r>
      </text>
    </comment>
    <comment ref="R719" authorId="2">
      <text>
        <r>
          <rPr>
            <b/>
            <sz val="9"/>
            <rFont val="宋体"/>
            <charset val="134"/>
          </rPr>
          <t>Administrator:</t>
        </r>
        <r>
          <rPr>
            <sz val="9"/>
            <rFont val="宋体"/>
            <charset val="134"/>
          </rPr>
          <t xml:space="preserve">
申报填写775019元</t>
        </r>
      </text>
    </comment>
    <comment ref="R730" authorId="2">
      <text>
        <r>
          <rPr>
            <b/>
            <sz val="9"/>
            <rFont val="宋体"/>
            <charset val="134"/>
          </rPr>
          <t>Administrator:</t>
        </r>
        <r>
          <rPr>
            <sz val="9"/>
            <rFont val="宋体"/>
            <charset val="134"/>
          </rPr>
          <t xml:space="preserve">
申报填写704865元</t>
        </r>
      </text>
    </comment>
    <comment ref="K835" authorId="2">
      <text>
        <r>
          <rPr>
            <b/>
            <sz val="9"/>
            <rFont val="宋体"/>
            <charset val="134"/>
          </rPr>
          <t>Administrator:</t>
        </r>
        <r>
          <rPr>
            <sz val="9"/>
            <rFont val="宋体"/>
            <charset val="134"/>
          </rPr>
          <t xml:space="preserve">
图上面积28.18</t>
        </r>
      </text>
    </comment>
    <comment ref="AE892" authorId="4">
      <text>
        <r>
          <rPr>
            <b/>
            <sz val="9"/>
            <rFont val="宋体"/>
            <charset val="134"/>
          </rPr>
          <t>GXN:</t>
        </r>
        <r>
          <rPr>
            <sz val="9"/>
            <rFont val="宋体"/>
            <charset val="134"/>
          </rPr>
          <t xml:space="preserve">
POS小票不清晰，手写注明金额，收款人未知，是否与房款总额重叠？</t>
        </r>
      </text>
    </comment>
    <comment ref="AE893" authorId="4">
      <text>
        <r>
          <rPr>
            <b/>
            <sz val="9"/>
            <rFont val="宋体"/>
            <charset val="134"/>
          </rPr>
          <t>GXN:</t>
        </r>
        <r>
          <rPr>
            <sz val="9"/>
            <rFont val="宋体"/>
            <charset val="134"/>
          </rPr>
          <t xml:space="preserve">
POS小票不清晰，手写注明金额，收款人未知，是否与房款总额重叠</t>
        </r>
      </text>
    </comment>
    <comment ref="AC927" authorId="4">
      <text>
        <r>
          <rPr>
            <b/>
            <sz val="9"/>
            <rFont val="宋体"/>
            <charset val="134"/>
          </rPr>
          <t>GXN:</t>
        </r>
        <r>
          <rPr>
            <sz val="9"/>
            <rFont val="宋体"/>
            <charset val="134"/>
          </rPr>
          <t xml:space="preserve">
收款人周京</t>
        </r>
      </text>
    </comment>
    <comment ref="K1007" authorId="2">
      <text>
        <r>
          <rPr>
            <b/>
            <sz val="9"/>
            <rFont val="宋体"/>
            <charset val="134"/>
          </rPr>
          <t>Administrator:</t>
        </r>
        <r>
          <rPr>
            <sz val="9"/>
            <rFont val="宋体"/>
            <charset val="134"/>
          </rPr>
          <t xml:space="preserve">
图上面积23.1</t>
        </r>
      </text>
    </comment>
    <comment ref="R1091" authorId="2">
      <text>
        <r>
          <rPr>
            <b/>
            <sz val="9"/>
            <rFont val="宋体"/>
            <charset val="134"/>
          </rPr>
          <t>Administrator:</t>
        </r>
        <r>
          <rPr>
            <sz val="9"/>
            <rFont val="宋体"/>
            <charset val="134"/>
          </rPr>
          <t xml:space="preserve">
申报填写61万</t>
        </r>
      </text>
    </comment>
    <comment ref="AE1091" authorId="2">
      <text>
        <r>
          <rPr>
            <b/>
            <sz val="9"/>
            <rFont val="宋体"/>
            <charset val="134"/>
          </rPr>
          <t>Administrator:</t>
        </r>
        <r>
          <rPr>
            <sz val="9"/>
            <rFont val="宋体"/>
            <charset val="134"/>
          </rPr>
          <t xml:space="preserve">
维修基金1771元，其他费用44639元</t>
        </r>
      </text>
    </comment>
    <comment ref="R1095" authorId="2">
      <text>
        <r>
          <rPr>
            <b/>
            <sz val="9"/>
            <rFont val="宋体"/>
            <charset val="134"/>
          </rPr>
          <t>Administrator:</t>
        </r>
        <r>
          <rPr>
            <sz val="9"/>
            <rFont val="宋体"/>
            <charset val="134"/>
          </rPr>
          <t xml:space="preserve">
申报填写591474元</t>
        </r>
      </text>
    </comment>
    <comment ref="R1100" authorId="2">
      <text>
        <r>
          <rPr>
            <b/>
            <sz val="9"/>
            <rFont val="宋体"/>
            <charset val="134"/>
          </rPr>
          <t>Administrator:</t>
        </r>
        <r>
          <rPr>
            <sz val="9"/>
            <rFont val="宋体"/>
            <charset val="134"/>
          </rPr>
          <t xml:space="preserve">
申报填写704998元</t>
        </r>
      </text>
    </comment>
    <comment ref="R1102" authorId="2">
      <text>
        <r>
          <rPr>
            <b/>
            <sz val="9"/>
            <rFont val="宋体"/>
            <charset val="134"/>
          </rPr>
          <t>Administrator:
申报填写357638元</t>
        </r>
      </text>
    </comment>
    <comment ref="R1133" authorId="2">
      <text>
        <r>
          <rPr>
            <b/>
            <sz val="9"/>
            <rFont val="宋体"/>
            <charset val="134"/>
          </rPr>
          <t>Administrator:</t>
        </r>
        <r>
          <rPr>
            <sz val="9"/>
            <rFont val="宋体"/>
            <charset val="134"/>
          </rPr>
          <t xml:space="preserve">
申报填写50万元</t>
        </r>
      </text>
    </comment>
    <comment ref="R1134" authorId="2">
      <text>
        <r>
          <rPr>
            <b/>
            <sz val="9"/>
            <rFont val="宋体"/>
            <charset val="134"/>
          </rPr>
          <t>Administrator:</t>
        </r>
        <r>
          <rPr>
            <sz val="9"/>
            <rFont val="宋体"/>
            <charset val="134"/>
          </rPr>
          <t xml:space="preserve">
申报填写425410元</t>
        </r>
      </text>
    </comment>
    <comment ref="R1146" authorId="2">
      <text>
        <r>
          <rPr>
            <b/>
            <sz val="9"/>
            <rFont val="宋体"/>
            <charset val="134"/>
          </rPr>
          <t>Administrator:</t>
        </r>
        <r>
          <rPr>
            <sz val="9"/>
            <rFont val="宋体"/>
            <charset val="134"/>
          </rPr>
          <t xml:space="preserve">
申报填写488408元</t>
        </r>
      </text>
    </comment>
    <comment ref="AC1150" authorId="2">
      <text>
        <r>
          <rPr>
            <b/>
            <sz val="9"/>
            <rFont val="宋体"/>
            <charset val="134"/>
          </rPr>
          <t>Administrator:</t>
        </r>
        <r>
          <rPr>
            <sz val="9"/>
            <rFont val="宋体"/>
            <charset val="134"/>
          </rPr>
          <t xml:space="preserve">
中介费</t>
        </r>
      </text>
    </comment>
    <comment ref="R1154" authorId="2">
      <text>
        <r>
          <rPr>
            <b/>
            <sz val="9"/>
            <rFont val="宋体"/>
            <charset val="134"/>
          </rPr>
          <t>Administrator:</t>
        </r>
        <r>
          <rPr>
            <sz val="9"/>
            <rFont val="宋体"/>
            <charset val="134"/>
          </rPr>
          <t xml:space="preserve">
申报填写463274元</t>
        </r>
      </text>
    </comment>
    <comment ref="R1159" authorId="2">
      <text>
        <r>
          <rPr>
            <b/>
            <sz val="9"/>
            <rFont val="宋体"/>
            <charset val="134"/>
          </rPr>
          <t>Administrator:</t>
        </r>
        <r>
          <rPr>
            <sz val="9"/>
            <rFont val="宋体"/>
            <charset val="134"/>
          </rPr>
          <t xml:space="preserve">
申报填写922904元</t>
        </r>
      </text>
    </comment>
    <comment ref="R1171" authorId="2">
      <text>
        <r>
          <rPr>
            <b/>
            <sz val="9"/>
            <rFont val="宋体"/>
            <charset val="134"/>
          </rPr>
          <t>Administrator:</t>
        </r>
        <r>
          <rPr>
            <sz val="9"/>
            <rFont val="宋体"/>
            <charset val="134"/>
          </rPr>
          <t xml:space="preserve">
申报填写408031元</t>
        </r>
      </text>
    </comment>
    <comment ref="R1195" authorId="2">
      <text>
        <r>
          <rPr>
            <b/>
            <sz val="9"/>
            <rFont val="宋体"/>
            <charset val="134"/>
          </rPr>
          <t>Administrator:</t>
        </r>
        <r>
          <rPr>
            <sz val="9"/>
            <rFont val="宋体"/>
            <charset val="134"/>
          </rPr>
          <t xml:space="preserve">
申报填写1416665元</t>
        </r>
      </text>
    </comment>
    <comment ref="R1214" authorId="2">
      <text>
        <r>
          <rPr>
            <b/>
            <sz val="9"/>
            <rFont val="宋体"/>
            <charset val="134"/>
          </rPr>
          <t>Administrator:</t>
        </r>
        <r>
          <rPr>
            <sz val="9"/>
            <rFont val="宋体"/>
            <charset val="134"/>
          </rPr>
          <t xml:space="preserve">
申报填写351657元</t>
        </r>
      </text>
    </comment>
    <comment ref="K1244" authorId="2">
      <text>
        <r>
          <rPr>
            <b/>
            <sz val="9"/>
            <rFont val="宋体"/>
            <charset val="134"/>
          </rPr>
          <t>Administrator:</t>
        </r>
        <r>
          <rPr>
            <sz val="9"/>
            <rFont val="宋体"/>
            <charset val="134"/>
          </rPr>
          <t xml:space="preserve">
图上面积46.68</t>
        </r>
      </text>
    </comment>
    <comment ref="B1247" authorId="2">
      <text>
        <r>
          <rPr>
            <b/>
            <sz val="9"/>
            <rFont val="宋体"/>
            <charset val="134"/>
          </rPr>
          <t>Administrator:</t>
        </r>
        <r>
          <rPr>
            <sz val="9"/>
            <rFont val="宋体"/>
            <charset val="134"/>
          </rPr>
          <t xml:space="preserve">
原登记为刘范</t>
        </r>
      </text>
    </comment>
    <comment ref="AC1264" authorId="2">
      <text>
        <r>
          <rPr>
            <b/>
            <sz val="9"/>
            <rFont val="宋体"/>
            <charset val="134"/>
          </rPr>
          <t>Administrator:</t>
        </r>
        <r>
          <rPr>
            <sz val="9"/>
            <rFont val="宋体"/>
            <charset val="134"/>
          </rPr>
          <t xml:space="preserve">
未写明是何款项</t>
        </r>
      </text>
    </comment>
    <comment ref="AC1266" authorId="2">
      <text>
        <r>
          <rPr>
            <b/>
            <sz val="9"/>
            <rFont val="宋体"/>
            <charset val="134"/>
          </rPr>
          <t>Administrator:</t>
        </r>
        <r>
          <rPr>
            <sz val="9"/>
            <rFont val="宋体"/>
            <charset val="134"/>
          </rPr>
          <t xml:space="preserve">
未写明是何费用</t>
        </r>
      </text>
    </comment>
    <comment ref="X1274" authorId="2">
      <text>
        <r>
          <rPr>
            <b/>
            <sz val="9"/>
            <rFont val="宋体"/>
            <charset val="134"/>
          </rPr>
          <t>Administrator:</t>
        </r>
        <r>
          <rPr>
            <sz val="9"/>
            <rFont val="宋体"/>
            <charset val="134"/>
          </rPr>
          <t xml:space="preserve">
26264元已退款
</t>
        </r>
      </text>
    </comment>
  </commentList>
</comments>
</file>

<file path=xl/comments4.xml><?xml version="1.0" encoding="utf-8"?>
<comments xmlns="http://schemas.openxmlformats.org/spreadsheetml/2006/main">
  <authors>
    <author>全玉霞</author>
  </authors>
  <commentList>
    <comment ref="AA1" authorId="0">
      <text>
        <r>
          <rPr>
            <b/>
            <sz val="9"/>
            <rFont val="宋体"/>
            <charset val="134"/>
          </rPr>
          <t>全玉霞:</t>
        </r>
        <r>
          <rPr>
            <sz val="9"/>
            <rFont val="宋体"/>
            <charset val="134"/>
          </rPr>
          <t xml:space="preserve">
当申报金额与核实金额有差异时需详细说明</t>
        </r>
      </text>
    </comment>
    <comment ref="V6" authorId="0">
      <text>
        <r>
          <rPr>
            <b/>
            <sz val="9"/>
            <rFont val="宋体"/>
            <charset val="134"/>
          </rPr>
          <t>全玉霞:</t>
        </r>
        <r>
          <rPr>
            <sz val="9"/>
            <rFont val="宋体"/>
            <charset val="134"/>
          </rPr>
          <t xml:space="preserve">
其中：逾期交房违约金210810.27；商铺收益本金192546，违约金94666.78</t>
        </r>
      </text>
    </comment>
  </commentList>
</comments>
</file>

<file path=xl/comments5.xml><?xml version="1.0" encoding="utf-8"?>
<comments xmlns="http://schemas.openxmlformats.org/spreadsheetml/2006/main">
  <authors>
    <author>n'k'k</author>
    <author>lenovo</author>
  </authors>
  <commentList>
    <comment ref="J11" authorId="0">
      <text>
        <r>
          <rPr>
            <b/>
            <sz val="9"/>
            <rFont val="宋体"/>
            <charset val="134"/>
          </rPr>
          <t>n'k'k:</t>
        </r>
        <r>
          <rPr>
            <sz val="9"/>
            <rFont val="宋体"/>
            <charset val="134"/>
          </rPr>
          <t xml:space="preserve">
在备注里填写该金额，总金额合计中不包含，债务主体是河南百悦城商业运营管理有限公司，不是恒祥实业</t>
        </r>
      </text>
    </comment>
    <comment ref="A17" authorId="0">
      <text>
        <r>
          <rPr>
            <b/>
            <sz val="9"/>
            <rFont val="宋体"/>
            <charset val="134"/>
          </rPr>
          <t>n'k'k:</t>
        </r>
        <r>
          <rPr>
            <sz val="9"/>
            <rFont val="宋体"/>
            <charset val="134"/>
          </rPr>
          <t xml:space="preserve">
原A0546，律师该编号空</t>
        </r>
      </text>
    </comment>
    <comment ref="L18" authorId="1">
      <text>
        <r>
          <rPr>
            <b/>
            <sz val="9"/>
            <rFont val="宋体"/>
            <charset val="134"/>
          </rPr>
          <t>lenovo:</t>
        </r>
        <r>
          <rPr>
            <sz val="9"/>
            <rFont val="宋体"/>
            <charset val="134"/>
          </rPr>
          <t xml:space="preserve">
房地产负担</t>
        </r>
      </text>
    </comment>
  </commentList>
</comments>
</file>

<file path=xl/comments6.xml><?xml version="1.0" encoding="utf-8"?>
<comments xmlns="http://schemas.openxmlformats.org/spreadsheetml/2006/main">
  <authors>
    <author>全玉霞</author>
    <author>GXN</author>
    <author>n'k'k</author>
    <author>Administrator</author>
  </authors>
  <commentList>
    <comment ref="E2" authorId="0">
      <text>
        <r>
          <rPr>
            <b/>
            <sz val="9"/>
            <rFont val="宋体"/>
            <charset val="134"/>
          </rPr>
          <t>全玉霞:</t>
        </r>
        <r>
          <rPr>
            <sz val="9"/>
            <rFont val="宋体"/>
            <charset val="134"/>
          </rPr>
          <t xml:space="preserve">
管理费用、销售费用范畴内的业务费用</t>
        </r>
      </text>
    </comment>
    <comment ref="F2" authorId="0">
      <text>
        <r>
          <rPr>
            <b/>
            <sz val="9"/>
            <rFont val="宋体"/>
            <charset val="134"/>
          </rPr>
          <t>全玉霞:</t>
        </r>
        <r>
          <rPr>
            <sz val="9"/>
            <rFont val="宋体"/>
            <charset val="134"/>
          </rPr>
          <t xml:space="preserve">
管理费用/物业费（租赁费等）、销售费用/宣传费（广告费、销售代理费用等）</t>
        </r>
      </text>
    </comment>
    <comment ref="L2" authorId="0">
      <text>
        <r>
          <rPr>
            <b/>
            <sz val="9"/>
            <rFont val="宋体"/>
            <charset val="134"/>
          </rPr>
          <t>全玉霞:</t>
        </r>
        <r>
          <rPr>
            <sz val="9"/>
            <rFont val="宋体"/>
            <charset val="134"/>
          </rPr>
          <t xml:space="preserve">
若债权人未主动申报，则不计算该项。</t>
        </r>
      </text>
    </comment>
    <comment ref="U2" authorId="0">
      <text>
        <r>
          <rPr>
            <b/>
            <sz val="9"/>
            <rFont val="宋体"/>
            <charset val="134"/>
          </rPr>
          <t>全玉霞:</t>
        </r>
        <r>
          <rPr>
            <sz val="9"/>
            <rFont val="宋体"/>
            <charset val="134"/>
          </rPr>
          <t xml:space="preserve">
若债权人未主动申报，则不计算该项。</t>
        </r>
      </text>
    </comment>
    <comment ref="L4" authorId="1">
      <text>
        <r>
          <rPr>
            <b/>
            <sz val="9"/>
            <rFont val="宋体"/>
            <charset val="134"/>
          </rPr>
          <t>GXN:</t>
        </r>
        <r>
          <rPr>
            <sz val="9"/>
            <rFont val="宋体"/>
            <charset val="134"/>
          </rPr>
          <t xml:space="preserve">
自2021.4.22至实际偿还日利息，年利率7.7%</t>
        </r>
      </text>
    </comment>
    <comment ref="L5" authorId="1">
      <text>
        <r>
          <rPr>
            <b/>
            <sz val="9"/>
            <rFont val="宋体"/>
            <charset val="134"/>
          </rPr>
          <t>GXN:</t>
        </r>
        <r>
          <rPr>
            <sz val="9"/>
            <rFont val="宋体"/>
            <charset val="134"/>
          </rPr>
          <t xml:space="preserve">
申报：利息2020.10.28至2022.9.21共694天，年利率3.85%，判决书：利息自2020.10.28日起，按照同期全国银行间同业拆借中心公布的贷款市场报价利率计算
迟延履行期间债务利息，2021.10.26-2022.9.21共330天，日万分之一；
2种利息的计算开始日不一样，错了2天</t>
        </r>
      </text>
    </comment>
    <comment ref="D6" authorId="2">
      <text>
        <r>
          <rPr>
            <b/>
            <sz val="9"/>
            <rFont val="宋体"/>
            <charset val="134"/>
          </rPr>
          <t>n'k'k:</t>
        </r>
        <r>
          <rPr>
            <sz val="9"/>
            <rFont val="宋体"/>
            <charset val="134"/>
          </rPr>
          <t xml:space="preserve">
原债权人为河南中原房地产顾问有限公司，转让债权给现债权人</t>
        </r>
      </text>
    </comment>
    <comment ref="K6" authorId="2">
      <text>
        <r>
          <rPr>
            <b/>
            <sz val="9"/>
            <rFont val="宋体"/>
            <charset val="134"/>
          </rPr>
          <t>n'k'k:</t>
        </r>
        <r>
          <rPr>
            <sz val="9"/>
            <rFont val="宋体"/>
            <charset val="134"/>
          </rPr>
          <t xml:space="preserve">
迟延履行金</t>
        </r>
      </text>
    </comment>
    <comment ref="L6" authorId="2">
      <text>
        <r>
          <rPr>
            <b/>
            <sz val="9"/>
            <rFont val="宋体"/>
            <charset val="134"/>
          </rPr>
          <t>n'k'k:</t>
        </r>
        <r>
          <rPr>
            <sz val="9"/>
            <rFont val="宋体"/>
            <charset val="134"/>
          </rPr>
          <t xml:space="preserve">
利息</t>
        </r>
      </text>
    </comment>
    <comment ref="R9" authorId="1">
      <text>
        <r>
          <rPr>
            <b/>
            <sz val="9"/>
            <rFont val="宋体"/>
            <charset val="134"/>
          </rPr>
          <t>GXN:</t>
        </r>
        <r>
          <rPr>
            <sz val="9"/>
            <rFont val="宋体"/>
            <charset val="134"/>
          </rPr>
          <t xml:space="preserve">
公证书、公证缴费单均为河南郑州市黄河公证处，转账记录上收款人为河南省公证处，二者公证单位不一致；公证书出具日期为2021.6.25，付款时间为2022.3.4</t>
        </r>
      </text>
    </comment>
    <comment ref="G11" authorId="3">
      <text>
        <r>
          <rPr>
            <b/>
            <sz val="9"/>
            <rFont val="宋体"/>
            <charset val="134"/>
          </rPr>
          <t>Administrator:</t>
        </r>
        <r>
          <rPr>
            <sz val="9"/>
            <rFont val="宋体"/>
            <charset val="134"/>
          </rPr>
          <t xml:space="preserve">
合同约定佣金标准，此为标点自己计算的金额</t>
        </r>
      </text>
    </comment>
    <comment ref="S11" authorId="3">
      <text>
        <r>
          <rPr>
            <b/>
            <sz val="9"/>
            <rFont val="宋体"/>
            <charset val="134"/>
          </rPr>
          <t>Administrator:</t>
        </r>
        <r>
          <rPr>
            <sz val="9"/>
            <rFont val="宋体"/>
            <charset val="134"/>
          </rPr>
          <t xml:space="preserve">
判决书认定</t>
        </r>
      </text>
    </comment>
    <comment ref="L12" authorId="1">
      <text>
        <r>
          <rPr>
            <b/>
            <sz val="9"/>
            <rFont val="宋体"/>
            <charset val="134"/>
          </rPr>
          <t>GXN:</t>
        </r>
        <r>
          <rPr>
            <sz val="9"/>
            <rFont val="宋体"/>
            <charset val="134"/>
          </rPr>
          <t xml:space="preserve">
申报126天，年利率按LPR的四倍14.8%计算，，2022.9.28河南规范律所将上述债权130转让给河南彭友律师事务所，逾期利息为日千分之一，自2022.5.22起计算</t>
        </r>
      </text>
    </comment>
    <comment ref="D18" authorId="1">
      <text>
        <r>
          <rPr>
            <b/>
            <sz val="9"/>
            <rFont val="宋体"/>
            <charset val="134"/>
          </rPr>
          <t>GXN:</t>
        </r>
        <r>
          <rPr>
            <sz val="9"/>
            <rFont val="宋体"/>
            <charset val="134"/>
          </rPr>
          <t xml:space="preserve">
法人李甫生，白国法14.9.5-15.9.8借用宏信置业公司的茅台酒价值516.08万</t>
        </r>
      </text>
    </comment>
    <comment ref="K18" authorId="1">
      <text>
        <r>
          <rPr>
            <b/>
            <sz val="9"/>
            <rFont val="宋体"/>
            <charset val="134"/>
          </rPr>
          <t>GXN:</t>
        </r>
        <r>
          <rPr>
            <sz val="9"/>
            <rFont val="宋体"/>
            <charset val="134"/>
          </rPr>
          <t xml:space="preserve">
申报表中利息及其他金额为3449631.2元，附表利息计算至2022.10.22为2500407.60元，诉讼及保全费31027元，利息期间计算错误且申报表前后金额不一致。
违约金年息17%，自2019.12.31期计算至实际偿还日，判决书另注明如未在十日内付款，需加倍支付迟延履行期间的债务利息</t>
        </r>
      </text>
    </comment>
    <comment ref="D19" authorId="1">
      <text>
        <r>
          <rPr>
            <b/>
            <sz val="9"/>
            <rFont val="宋体"/>
            <charset val="134"/>
          </rPr>
          <t>GXN:</t>
        </r>
        <r>
          <rPr>
            <sz val="9"/>
            <rFont val="宋体"/>
            <charset val="134"/>
          </rPr>
          <t xml:space="preserve">
郑东新区福晟国际2号楼20层2014.10.17-2019.12.31房租</t>
        </r>
      </text>
    </comment>
    <comment ref="K19" authorId="1">
      <text>
        <r>
          <rPr>
            <b/>
            <sz val="9"/>
            <rFont val="宋体"/>
            <charset val="134"/>
          </rPr>
          <t>GXN:</t>
        </r>
        <r>
          <rPr>
            <sz val="9"/>
            <rFont val="宋体"/>
            <charset val="134"/>
          </rPr>
          <t xml:space="preserve">
判决书上违约金金额</t>
        </r>
      </text>
    </comment>
    <comment ref="L19" authorId="1">
      <text>
        <r>
          <rPr>
            <b/>
            <sz val="9"/>
            <rFont val="宋体"/>
            <charset val="134"/>
          </rPr>
          <t>GXN:</t>
        </r>
        <r>
          <rPr>
            <sz val="9"/>
            <rFont val="宋体"/>
            <charset val="134"/>
          </rPr>
          <t xml:space="preserve">
判决书另注明如未在十日内付款，需加倍支付迟延履行期间的债务利息
，计息基数包括本金、违约金、诉讼费、保全费？？？？（5974990.4+597500+32763）*608*1.75/10000=702798.96</t>
        </r>
      </text>
    </comment>
    <comment ref="M19" authorId="1">
      <text>
        <r>
          <rPr>
            <b/>
            <sz val="9"/>
            <rFont val="宋体"/>
            <charset val="134"/>
          </rPr>
          <t>GXN:</t>
        </r>
        <r>
          <rPr>
            <sz val="9"/>
            <rFont val="宋体"/>
            <charset val="134"/>
          </rPr>
          <t xml:space="preserve">
</t>
        </r>
      </text>
    </comment>
  </commentList>
</comments>
</file>

<file path=xl/comments7.xml><?xml version="1.0" encoding="utf-8"?>
<comments xmlns="http://schemas.openxmlformats.org/spreadsheetml/2006/main">
  <authors>
    <author>GXN</author>
  </authors>
  <commentList>
    <comment ref="E2" authorId="0">
      <text>
        <r>
          <rPr>
            <b/>
            <sz val="9"/>
            <rFont val="宋体"/>
            <charset val="134"/>
          </rPr>
          <t>GXN:</t>
        </r>
        <r>
          <rPr>
            <sz val="9"/>
            <rFont val="宋体"/>
            <charset val="134"/>
          </rPr>
          <t xml:space="preserve">
确认，确认+待确认</t>
        </r>
      </text>
    </comment>
  </commentList>
</comments>
</file>

<file path=xl/comments8.xml><?xml version="1.0" encoding="utf-8"?>
<comments xmlns="http://schemas.openxmlformats.org/spreadsheetml/2006/main">
  <authors>
    <author>lenovo</author>
  </authors>
  <commentList>
    <comment ref="U2" authorId="0">
      <text>
        <r>
          <rPr>
            <b/>
            <sz val="9"/>
            <rFont val="宋体"/>
            <charset val="134"/>
          </rPr>
          <t>lenovo:</t>
        </r>
        <r>
          <rPr>
            <sz val="9"/>
            <rFont val="宋体"/>
            <charset val="134"/>
          </rPr>
          <t xml:space="preserve">
延期交房利息+违约金</t>
        </r>
      </text>
    </comment>
  </commentList>
</comments>
</file>

<file path=xl/sharedStrings.xml><?xml version="1.0" encoding="utf-8"?>
<sst xmlns="http://schemas.openxmlformats.org/spreadsheetml/2006/main" count="21428" uniqueCount="11115">
  <si>
    <t>材料编号</t>
  </si>
  <si>
    <t>姓名</t>
  </si>
  <si>
    <t>身份证号</t>
  </si>
  <si>
    <t>电话</t>
  </si>
  <si>
    <t>地址</t>
  </si>
  <si>
    <t>楼栋</t>
  </si>
  <si>
    <t>单元</t>
  </si>
  <si>
    <t>楼层</t>
  </si>
  <si>
    <t>新房号</t>
  </si>
  <si>
    <t>新面积</t>
  </si>
  <si>
    <t>备案价</t>
  </si>
  <si>
    <t>预估单价</t>
  </si>
  <si>
    <t>预估总价</t>
  </si>
  <si>
    <t>折后单价</t>
  </si>
  <si>
    <t>折后总价</t>
  </si>
  <si>
    <t>付款方式</t>
  </si>
  <si>
    <t>已交款</t>
  </si>
  <si>
    <t>需退</t>
  </si>
  <si>
    <t>按揭款</t>
  </si>
  <si>
    <t>欠款</t>
  </si>
  <si>
    <t>按揭回款</t>
  </si>
  <si>
    <t>维修基金</t>
  </si>
  <si>
    <t>产权登记费</t>
  </si>
  <si>
    <t>网签</t>
  </si>
  <si>
    <t>签约
情况</t>
  </si>
  <si>
    <t>预约
保留金</t>
  </si>
  <si>
    <t>入会费、活动费等</t>
  </si>
  <si>
    <t>申报利息或违约金</t>
  </si>
  <si>
    <t>其他</t>
  </si>
  <si>
    <t>收款方式</t>
  </si>
  <si>
    <t>收款账户</t>
  </si>
  <si>
    <t>债权发生时间</t>
  </si>
  <si>
    <t>房地产收据
金额</t>
  </si>
  <si>
    <t>申报金额</t>
  </si>
  <si>
    <t>核定金额</t>
  </si>
  <si>
    <t>差异</t>
  </si>
  <si>
    <t>备注</t>
  </si>
  <si>
    <t>登记人</t>
  </si>
  <si>
    <t>登记日期</t>
  </si>
  <si>
    <t>申报金额合计</t>
  </si>
  <si>
    <t>核定金额合计</t>
  </si>
  <si>
    <t>累计登记数量</t>
  </si>
  <si>
    <t>A0002</t>
  </si>
  <si>
    <t>史耀</t>
  </si>
  <si>
    <t>410104198102103013</t>
  </si>
  <si>
    <t>136837187781
5603903667</t>
  </si>
  <si>
    <t>公积金</t>
  </si>
  <si>
    <t>/</t>
  </si>
  <si>
    <t>签</t>
  </si>
  <si>
    <t>A0004</t>
  </si>
  <si>
    <t>李文文</t>
  </si>
  <si>
    <t>412321198402143921</t>
  </si>
  <si>
    <t>13526699667
15136287215</t>
  </si>
  <si>
    <t>A0005</t>
  </si>
  <si>
    <t>李文中</t>
  </si>
  <si>
    <t>410105195709293311</t>
  </si>
  <si>
    <t>一次性</t>
  </si>
  <si>
    <t>2015年交房款定金1219586，收据为房地产出具</t>
  </si>
  <si>
    <t>A0006</t>
  </si>
  <si>
    <t>肖婴</t>
  </si>
  <si>
    <t>140511198701201248</t>
  </si>
  <si>
    <t>15136200024
15136200034</t>
  </si>
  <si>
    <t>其中24万为恒祥实业收据，其余均为房地产收据</t>
  </si>
  <si>
    <t>A0009</t>
  </si>
  <si>
    <t>孙雪玲</t>
  </si>
  <si>
    <t>410504197603171521</t>
  </si>
  <si>
    <t>按揭</t>
  </si>
  <si>
    <t>A0012</t>
  </si>
  <si>
    <t>曾亚赛</t>
  </si>
  <si>
    <t>410425198911271023</t>
  </si>
  <si>
    <t>A0013</t>
  </si>
  <si>
    <t>邓玮</t>
  </si>
  <si>
    <t>410103198102193729</t>
  </si>
  <si>
    <t>A0014</t>
  </si>
  <si>
    <t>刘平平</t>
  </si>
  <si>
    <t>410105197907146143</t>
  </si>
  <si>
    <t>13603869675</t>
  </si>
  <si>
    <t>A0015</t>
  </si>
  <si>
    <t>樊国娜</t>
  </si>
  <si>
    <t>412926197210062545</t>
  </si>
  <si>
    <t>15903621377
13838582267
18538253063</t>
  </si>
  <si>
    <t>郑州市金水区黄河路93号院6号楼16号</t>
  </si>
  <si>
    <t>无合同、其中39万为抵工程款</t>
  </si>
  <si>
    <t>A0016</t>
  </si>
  <si>
    <t>李晓晨</t>
  </si>
  <si>
    <t>410105198503130123</t>
  </si>
  <si>
    <t>A0017</t>
  </si>
  <si>
    <t>王金钰</t>
  </si>
  <si>
    <t>41010419910409002X</t>
  </si>
  <si>
    <t>A0018</t>
  </si>
  <si>
    <t>陈峰</t>
  </si>
  <si>
    <t>410105197312231074</t>
  </si>
  <si>
    <t>A0019</t>
  </si>
  <si>
    <t>马佳</t>
  </si>
  <si>
    <t>41010319790329244X</t>
  </si>
  <si>
    <t>收据房地产，但款打入实业</t>
  </si>
  <si>
    <t>A0020</t>
  </si>
  <si>
    <t>刘琳捷
刘大维</t>
  </si>
  <si>
    <t>412702199702017449</t>
  </si>
  <si>
    <t>A0021</t>
  </si>
  <si>
    <t>高艳红</t>
  </si>
  <si>
    <t>411081197312111269</t>
  </si>
  <si>
    <t>A0023</t>
  </si>
  <si>
    <t>艾莉</t>
  </si>
  <si>
    <t>419004196810131289</t>
  </si>
  <si>
    <t>A0024</t>
  </si>
  <si>
    <t>艾明磊</t>
  </si>
  <si>
    <t>411081197312111293</t>
  </si>
  <si>
    <t>A0025</t>
  </si>
  <si>
    <t>艾艳秋</t>
  </si>
  <si>
    <t>410103196309083720</t>
  </si>
  <si>
    <t>13607690334</t>
  </si>
  <si>
    <t>A0028</t>
  </si>
  <si>
    <t>李菲</t>
  </si>
  <si>
    <t>410105198406030091</t>
  </si>
  <si>
    <t>A0029</t>
  </si>
  <si>
    <t>李晶晶</t>
  </si>
  <si>
    <t>411282198304052627</t>
  </si>
  <si>
    <t>13403711098
15738300204</t>
  </si>
  <si>
    <t>2018/620</t>
  </si>
  <si>
    <t>A0032</t>
  </si>
  <si>
    <t>李宁</t>
  </si>
  <si>
    <t>410621196310100049</t>
  </si>
  <si>
    <t>POS</t>
  </si>
  <si>
    <t>恒祥实业兴业1290</t>
  </si>
  <si>
    <t>A0034</t>
  </si>
  <si>
    <t>宋秀丽</t>
  </si>
  <si>
    <t>412724197710122942</t>
  </si>
  <si>
    <t>收据房地产，发票808079元；维修基金少申报5千，</t>
  </si>
  <si>
    <t>A0036</t>
  </si>
  <si>
    <t>张国彬</t>
  </si>
  <si>
    <t>410105197001106110</t>
  </si>
  <si>
    <t>13213222299</t>
  </si>
  <si>
    <t>郑州市管城回族区烟厂西街30号院1号楼3单元44号</t>
  </si>
  <si>
    <t>A0037</t>
  </si>
  <si>
    <t>李永喜</t>
  </si>
  <si>
    <t>410402198112151012</t>
  </si>
  <si>
    <t>A0038</t>
  </si>
  <si>
    <t>张茹</t>
  </si>
  <si>
    <t>410103197012052426</t>
  </si>
  <si>
    <t>15981881534</t>
  </si>
  <si>
    <t>A0041</t>
  </si>
  <si>
    <t>郑肖雷</t>
  </si>
  <si>
    <t>410203198209160017</t>
  </si>
  <si>
    <t>申报利息：2021.1.1-2022.9.21
444560*629*0.01/10000=279.63</t>
  </si>
  <si>
    <t>A0042</t>
  </si>
  <si>
    <t>李智瑞</t>
  </si>
  <si>
    <t>410522197810253741</t>
  </si>
  <si>
    <t>多交预约保留金615元，未申报</t>
  </si>
  <si>
    <t>A0043</t>
  </si>
  <si>
    <t>房书斌</t>
  </si>
  <si>
    <t>410503198012131518</t>
  </si>
  <si>
    <t>多交预约保留金1230元，未申报</t>
  </si>
  <si>
    <t>A0044</t>
  </si>
  <si>
    <t>王志勇</t>
  </si>
  <si>
    <t>410105196109231015</t>
  </si>
  <si>
    <t>A0047</t>
  </si>
  <si>
    <t>朱箫洁</t>
  </si>
  <si>
    <t>411121198005162027</t>
  </si>
  <si>
    <t>13633812957</t>
  </si>
  <si>
    <t>恒祥实业</t>
  </si>
  <si>
    <t>A0048</t>
  </si>
  <si>
    <t>付艳艳</t>
  </si>
  <si>
    <t>411081198407311567</t>
  </si>
  <si>
    <t>13598081312</t>
  </si>
  <si>
    <t>恒祥实业兴业银行</t>
  </si>
  <si>
    <t>A0049</t>
  </si>
  <si>
    <t>刘艳</t>
  </si>
  <si>
    <t>412726198509225429</t>
  </si>
  <si>
    <t>维修基金和登记费为房地产收据，房款为实业发票，无流水</t>
  </si>
  <si>
    <t>A0053</t>
  </si>
  <si>
    <t>孔德丽</t>
  </si>
  <si>
    <t>41010519640414052x</t>
  </si>
  <si>
    <t>A0054</t>
  </si>
  <si>
    <t>奚合忠</t>
  </si>
  <si>
    <t>410504196411052013</t>
  </si>
  <si>
    <t>郑州市金水区经三路北99号</t>
  </si>
  <si>
    <t>无发票和流水</t>
  </si>
  <si>
    <t>A0058</t>
  </si>
  <si>
    <t>孟云</t>
  </si>
  <si>
    <t>A0059</t>
  </si>
  <si>
    <t>李薇</t>
  </si>
  <si>
    <t>410102197503311027</t>
  </si>
  <si>
    <t>13603990388</t>
  </si>
  <si>
    <t>A0061-1</t>
  </si>
  <si>
    <t>郭新战</t>
  </si>
  <si>
    <t>410202197409021010</t>
  </si>
  <si>
    <t>A0061-2</t>
  </si>
  <si>
    <t>A0068</t>
  </si>
  <si>
    <t>李海鹏</t>
  </si>
  <si>
    <t>410103198610010079</t>
  </si>
  <si>
    <t>按揭款40万无收据和发票</t>
  </si>
  <si>
    <t>A0070-1</t>
  </si>
  <si>
    <t>王明</t>
  </si>
  <si>
    <t>412727197507151501</t>
  </si>
  <si>
    <t>443681为实业发票，无收据</t>
  </si>
  <si>
    <t>A0070-2</t>
  </si>
  <si>
    <t>13223071927
13525504411</t>
  </si>
  <si>
    <t>556375为实业发票，无收据</t>
  </si>
  <si>
    <t>A0070-3</t>
  </si>
  <si>
    <t>523231为实业发票，无收据</t>
  </si>
  <si>
    <t>A0076</t>
  </si>
  <si>
    <t>黄莉</t>
  </si>
  <si>
    <t>413022197904293539</t>
  </si>
  <si>
    <t>A0077</t>
  </si>
  <si>
    <t>曹海良</t>
  </si>
  <si>
    <t>410481199012130521</t>
  </si>
  <si>
    <t>13323821702</t>
  </si>
  <si>
    <t>转账</t>
  </si>
  <si>
    <t>413691元没有在账套上找到对应凭证</t>
  </si>
  <si>
    <t>A0078</t>
  </si>
  <si>
    <t>陈杰</t>
  </si>
  <si>
    <t>362501197111070853</t>
  </si>
  <si>
    <t>A0079</t>
  </si>
  <si>
    <t>马二霞</t>
  </si>
  <si>
    <t>412722197904086529</t>
  </si>
  <si>
    <t>A0080</t>
  </si>
  <si>
    <t>周敏</t>
  </si>
  <si>
    <t>413024198208282622</t>
  </si>
  <si>
    <t>A0082</t>
  </si>
  <si>
    <t>段雪敏</t>
  </si>
  <si>
    <t>13937177212
15503719790</t>
  </si>
  <si>
    <t>A0083</t>
  </si>
  <si>
    <t>侯尚君</t>
  </si>
  <si>
    <t>18237196555
13613719060</t>
  </si>
  <si>
    <t>A0086</t>
  </si>
  <si>
    <t>冯大伟、赵敏</t>
  </si>
  <si>
    <t>410823198604140057、410823198909200022</t>
  </si>
  <si>
    <t>18135678391</t>
  </si>
  <si>
    <t>A0087</t>
  </si>
  <si>
    <t>张璐</t>
  </si>
  <si>
    <t>410105198505230259</t>
  </si>
  <si>
    <t>663228元+按揭款16万无收据，均为实业发票</t>
  </si>
  <si>
    <t>A0090</t>
  </si>
  <si>
    <t>张利群</t>
  </si>
  <si>
    <t>413026197912067860</t>
  </si>
  <si>
    <t>13253672626</t>
  </si>
  <si>
    <t>pos</t>
  </si>
  <si>
    <t>A0091</t>
  </si>
  <si>
    <t>刘磊</t>
  </si>
  <si>
    <t>410102197609112026</t>
  </si>
  <si>
    <t>A0098</t>
  </si>
  <si>
    <t>李军辉</t>
  </si>
  <si>
    <t>410105197401171640</t>
  </si>
  <si>
    <t>18638555069</t>
  </si>
  <si>
    <t>A0099</t>
  </si>
  <si>
    <t>梁明磊</t>
  </si>
  <si>
    <t>411422199002253991</t>
  </si>
  <si>
    <t>郑州市管城回族区未来路888号院2号楼35号</t>
  </si>
  <si>
    <t>2015.8.28交订金1347192元，收据恒祥房地产开具，2020年恒祥实业出具发票</t>
  </si>
  <si>
    <t>A0101</t>
  </si>
  <si>
    <t>张丹丹</t>
  </si>
  <si>
    <t>410104198006120024</t>
  </si>
  <si>
    <t>A0103</t>
  </si>
  <si>
    <t>韦彩梨</t>
  </si>
  <si>
    <t>410329198009153022</t>
  </si>
  <si>
    <t>A0106</t>
  </si>
  <si>
    <t>赵娟</t>
  </si>
  <si>
    <t>130531198503172021</t>
  </si>
  <si>
    <t>13633848488/13513719711</t>
  </si>
  <si>
    <t>A0107-1</t>
  </si>
  <si>
    <t>张洪丽</t>
  </si>
  <si>
    <t>410622197212220507</t>
  </si>
  <si>
    <t>A0107-2</t>
  </si>
  <si>
    <t>A0114</t>
  </si>
  <si>
    <t>李晶磊、胡晓燕</t>
  </si>
  <si>
    <t>412722198008050143/412722197903170032</t>
  </si>
  <si>
    <t>A0115</t>
  </si>
  <si>
    <t>王建霞</t>
  </si>
  <si>
    <t>41010519801128162x</t>
  </si>
  <si>
    <t>A0117</t>
  </si>
  <si>
    <t>李瑞娟</t>
  </si>
  <si>
    <t>410105193610032729</t>
  </si>
  <si>
    <t>13901891583/86546630</t>
  </si>
  <si>
    <t>A0120</t>
  </si>
  <si>
    <t>李雅莉</t>
  </si>
  <si>
    <t>412724199401091862</t>
  </si>
  <si>
    <t>郑州市金水区沙口路3号院6号楼14号</t>
  </si>
  <si>
    <t>未申报按揭回款83万，联系债权人核实情况</t>
  </si>
  <si>
    <t>A0126</t>
  </si>
  <si>
    <t>吕翔</t>
  </si>
  <si>
    <t>410104197303062516</t>
  </si>
  <si>
    <t>A0128</t>
  </si>
  <si>
    <t>贾丹丹</t>
  </si>
  <si>
    <t>412728198903171521</t>
  </si>
  <si>
    <t>恒祥实业中国银行30万</t>
  </si>
  <si>
    <t>房地产收据2019年换成恒祥实业</t>
  </si>
  <si>
    <t>A0130-1</t>
  </si>
  <si>
    <t>邓继锋</t>
  </si>
  <si>
    <t>410304197504151030</t>
  </si>
  <si>
    <t>17703885766
13653796669</t>
  </si>
  <si>
    <t>房款890640有发票，无收据</t>
  </si>
  <si>
    <t>A0130-2</t>
  </si>
  <si>
    <t>邓继锋
张媛媛</t>
  </si>
  <si>
    <t>410302197712011048</t>
  </si>
  <si>
    <t>13623883388
13653796669</t>
  </si>
  <si>
    <t>房款438955有发票，无收据</t>
  </si>
  <si>
    <t>A0132</t>
  </si>
  <si>
    <t>徐进</t>
  </si>
  <si>
    <t>410126196508010043</t>
  </si>
  <si>
    <t>A0140</t>
  </si>
  <si>
    <t>赵付安</t>
  </si>
  <si>
    <t>412932196407170016</t>
  </si>
  <si>
    <t>15737167187/18538448696</t>
  </si>
  <si>
    <t>A0146</t>
  </si>
  <si>
    <t>高婉予</t>
  </si>
  <si>
    <t>410105199107080027</t>
  </si>
  <si>
    <t>A0152</t>
  </si>
  <si>
    <t>陈军</t>
  </si>
  <si>
    <t>410105196610220520</t>
  </si>
  <si>
    <t>A0157</t>
  </si>
  <si>
    <t>邢素娟</t>
  </si>
  <si>
    <t>410727198209162045</t>
  </si>
  <si>
    <t>15516578201 15537318529</t>
  </si>
  <si>
    <t>A0168</t>
  </si>
  <si>
    <t>杨子江</t>
  </si>
  <si>
    <t>410105194906053312</t>
  </si>
  <si>
    <t>A0170</t>
  </si>
  <si>
    <t>张跃武</t>
  </si>
  <si>
    <t>410105197302136153</t>
  </si>
  <si>
    <t>A0172</t>
  </si>
  <si>
    <t>靳慧文</t>
  </si>
  <si>
    <t>410522198511292841</t>
  </si>
  <si>
    <t>18530856855/13592687869</t>
  </si>
  <si>
    <t>未提供收据，未申报维修基金和产权登记费，联系债权人核实缴纳情况</t>
  </si>
  <si>
    <t>A0173</t>
  </si>
  <si>
    <t>肖学功</t>
  </si>
  <si>
    <t>41010519810220841x</t>
  </si>
  <si>
    <t>其他金额恒祥实业已开发票</t>
  </si>
  <si>
    <t>A0174</t>
  </si>
  <si>
    <t>孙继才</t>
  </si>
  <si>
    <t>41022119710914021x</t>
  </si>
  <si>
    <t>原销控表已交房款397459元，孙继才附收据397459.2元</t>
  </si>
  <si>
    <t>A0175</t>
  </si>
  <si>
    <t>相爱伦</t>
  </si>
  <si>
    <t>410412196910260022</t>
  </si>
  <si>
    <t>A0177</t>
  </si>
  <si>
    <t>姜勃</t>
  </si>
  <si>
    <t>410105198904270119</t>
  </si>
  <si>
    <t>13643714702/13683803219</t>
  </si>
  <si>
    <t>A0178</t>
  </si>
  <si>
    <t>任梅</t>
  </si>
  <si>
    <t>412701197211112024</t>
  </si>
  <si>
    <t>A0179</t>
  </si>
  <si>
    <t>王静</t>
  </si>
  <si>
    <t>410103198006089024</t>
  </si>
  <si>
    <t>13837190125/18638622899</t>
  </si>
  <si>
    <t>A0180-1</t>
  </si>
  <si>
    <t>李新雨</t>
  </si>
  <si>
    <t>412725198911121162</t>
  </si>
  <si>
    <t>A0180-2</t>
  </si>
  <si>
    <t>A0184</t>
  </si>
  <si>
    <t>党培</t>
  </si>
  <si>
    <t>410102197108045523</t>
  </si>
  <si>
    <t>A0186</t>
  </si>
  <si>
    <t>李贵州</t>
  </si>
  <si>
    <t>410725198201223031</t>
  </si>
  <si>
    <t>13523581098/13598631604、13353717211</t>
  </si>
  <si>
    <t>A0187</t>
  </si>
  <si>
    <t>张美平/张保平</t>
  </si>
  <si>
    <t>410402197208303522/410402196706113540</t>
  </si>
  <si>
    <t>15637118919/15637565601、15637513755</t>
  </si>
  <si>
    <t>A0190</t>
  </si>
  <si>
    <t>杨保强</t>
  </si>
  <si>
    <t>412928197106083234</t>
  </si>
  <si>
    <t>A0192</t>
  </si>
  <si>
    <t>李强</t>
  </si>
  <si>
    <t>320311198203216430</t>
  </si>
  <si>
    <t>房款818685有发票无收据</t>
  </si>
  <si>
    <t>A0193</t>
  </si>
  <si>
    <t>刘梅</t>
  </si>
  <si>
    <t>410526196902183040</t>
  </si>
  <si>
    <t>A0199</t>
  </si>
  <si>
    <t>冯秋霞</t>
  </si>
  <si>
    <t>13783461920、17788133362</t>
  </si>
  <si>
    <t>A0201-1</t>
  </si>
  <si>
    <t>韩云辉</t>
  </si>
  <si>
    <t>410105195803250027</t>
  </si>
  <si>
    <t>已开实业发票</t>
  </si>
  <si>
    <t>A0201-2</t>
  </si>
  <si>
    <t>410105195803050027</t>
  </si>
  <si>
    <t>13526786655</t>
  </si>
  <si>
    <t>A0202</t>
  </si>
  <si>
    <t>申颖</t>
  </si>
  <si>
    <t>41010919750204244X</t>
  </si>
  <si>
    <t>13598055393/13503814664</t>
  </si>
  <si>
    <t>A0204</t>
  </si>
  <si>
    <t>桑香珍</t>
  </si>
  <si>
    <t>中</t>
  </si>
  <si>
    <t>吴新芳债务抵房，仅提房地产盖章收据和认购协议。但吴新芳的所对应的债权主体是实业还是房地产或其他并不明确；;11月20号补充资料：吴新芳与桑香珍的债权转让协议；吴新芳给恒祥实业送酒的送货单及白恒签字的收据</t>
  </si>
  <si>
    <t>A0205</t>
  </si>
  <si>
    <t>康志霞</t>
  </si>
  <si>
    <t>吴新芳债务抵房，仅提房地产盖章收据和认购协议。但吴新芳的所对应的债权主体是实业还是房地产或其他并不明确；
11月20号补充资料：吴新芳与康志霞的债权转让协议；吴新芳给恒祥实业送酒的送货单及白恒签字的收据</t>
  </si>
  <si>
    <t>A0206</t>
  </si>
  <si>
    <t>杨斐</t>
  </si>
  <si>
    <t>410882198610117523</t>
  </si>
  <si>
    <t>15225105599</t>
  </si>
  <si>
    <t>A0208</t>
  </si>
  <si>
    <t>李利晖</t>
  </si>
  <si>
    <t>410381198205010542</t>
  </si>
  <si>
    <t>资料邮寄给贾律师</t>
  </si>
  <si>
    <t>A0216</t>
  </si>
  <si>
    <t>安世红</t>
  </si>
  <si>
    <t>412323196507120033</t>
  </si>
  <si>
    <t>A0218</t>
  </si>
  <si>
    <t>栗伟丽</t>
  </si>
  <si>
    <t>410105197004091049</t>
  </si>
  <si>
    <t>A0222</t>
  </si>
  <si>
    <t>张师振/杜艳玲</t>
  </si>
  <si>
    <t>410711197212270917</t>
  </si>
  <si>
    <t>A0223</t>
  </si>
  <si>
    <t>李爱琴</t>
  </si>
  <si>
    <t>412721199802140021</t>
  </si>
  <si>
    <t>13838692716</t>
  </si>
  <si>
    <t>A0224</t>
  </si>
  <si>
    <t>丁春兰</t>
  </si>
  <si>
    <t>412725197407204220</t>
  </si>
  <si>
    <t>18838108126</t>
  </si>
  <si>
    <t>A0225</t>
  </si>
  <si>
    <t>刘好修</t>
  </si>
  <si>
    <t>410105195508152774</t>
  </si>
  <si>
    <t>13803711592</t>
  </si>
  <si>
    <t>A0230</t>
  </si>
  <si>
    <t>白彩霞</t>
  </si>
  <si>
    <t>412701196012131025</t>
  </si>
  <si>
    <t>A0234</t>
  </si>
  <si>
    <t>巴伟</t>
  </si>
  <si>
    <t>410112196008124919</t>
  </si>
  <si>
    <t>A0238</t>
  </si>
  <si>
    <t>黄朝霞</t>
  </si>
  <si>
    <t>A0239</t>
  </si>
  <si>
    <t>封雪萍、李建民</t>
  </si>
  <si>
    <t>410381196505134513</t>
  </si>
  <si>
    <t>A0242</t>
  </si>
  <si>
    <t>卢凯</t>
  </si>
  <si>
    <t>410103198302057019</t>
  </si>
  <si>
    <t>18703800521、13333718763</t>
  </si>
  <si>
    <t>白国法兴业卡</t>
  </si>
  <si>
    <t>无收据，仅预约保留协议书和POS小票</t>
  </si>
  <si>
    <t>A0248</t>
  </si>
  <si>
    <t>靳亮</t>
  </si>
  <si>
    <t>4101051987030300555</t>
  </si>
  <si>
    <t>13613838306、15515515512</t>
  </si>
  <si>
    <t>A0255</t>
  </si>
  <si>
    <t>刘国雄</t>
  </si>
  <si>
    <t>410105199302210084</t>
  </si>
  <si>
    <t>A0262</t>
  </si>
  <si>
    <t>穆艳红</t>
  </si>
  <si>
    <t>412724198007042945</t>
  </si>
  <si>
    <t>15188355532/18037682883</t>
  </si>
  <si>
    <t>金水区丰乐路同乐花园</t>
  </si>
  <si>
    <t>A0268</t>
  </si>
  <si>
    <t>周帅</t>
  </si>
  <si>
    <t>411424198701180048</t>
  </si>
  <si>
    <t xml:space="preserve">13838126384  18538081118 </t>
  </si>
  <si>
    <t>房款有发票无收据</t>
  </si>
  <si>
    <t>A0270</t>
  </si>
  <si>
    <t>杨艳华</t>
  </si>
  <si>
    <t>410105197406302769</t>
  </si>
  <si>
    <t>A0275</t>
  </si>
  <si>
    <t>张小双</t>
  </si>
  <si>
    <t>410725197910071646</t>
  </si>
  <si>
    <t>A0278</t>
  </si>
  <si>
    <t>庞艺纯</t>
  </si>
  <si>
    <t>412722199209048722</t>
  </si>
  <si>
    <t>18738855486/13939401676</t>
  </si>
  <si>
    <t>河南省漯河市堰城区城关镇建业森林半岛3号楼1单元201号</t>
  </si>
  <si>
    <t>A0286-1</t>
  </si>
  <si>
    <t>金璐</t>
  </si>
  <si>
    <t>412722198109051022</t>
  </si>
  <si>
    <t>18613711877/13803891788</t>
  </si>
  <si>
    <t>郑州市管城回区二里岗东街71号院1号楼37号</t>
  </si>
  <si>
    <t>A0286-2</t>
  </si>
  <si>
    <t>A0287</t>
  </si>
  <si>
    <t>晏淑珍</t>
  </si>
  <si>
    <t>210404198611262716</t>
  </si>
  <si>
    <t>13733197018</t>
  </si>
  <si>
    <t>郑州市金水区黄河路127号院1号楼2214号</t>
  </si>
  <si>
    <t>发票1359941，剩余为应退房款，该份债权申报资料总额包含应退房款520987，电子版已减，登记在退款债权</t>
  </si>
  <si>
    <t>A0290</t>
  </si>
  <si>
    <t>杨艳</t>
  </si>
  <si>
    <t>410103196204182466</t>
  </si>
  <si>
    <t>A0294</t>
  </si>
  <si>
    <t>马玉凤</t>
  </si>
  <si>
    <t>410126197012080341</t>
  </si>
  <si>
    <t>13937180428</t>
  </si>
  <si>
    <t>A0295</t>
  </si>
  <si>
    <t>范振宏</t>
  </si>
  <si>
    <t>410102199704210010</t>
  </si>
  <si>
    <t>郑州市中原区西站路70号院11号楼7号</t>
  </si>
  <si>
    <t>A0298</t>
  </si>
  <si>
    <t>山梅</t>
  </si>
  <si>
    <t>410105197106181627</t>
  </si>
  <si>
    <t>A0299</t>
  </si>
  <si>
    <t>董雪萍</t>
  </si>
  <si>
    <t>412702198709186988</t>
  </si>
  <si>
    <t>A0301</t>
  </si>
  <si>
    <t>韩艳彬</t>
  </si>
  <si>
    <t>410711199412072524</t>
  </si>
  <si>
    <t>A0309</t>
  </si>
  <si>
    <t>朱文静</t>
  </si>
  <si>
    <t>410411198209215541</t>
  </si>
  <si>
    <t>A0310</t>
  </si>
  <si>
    <t>陈永静</t>
  </si>
  <si>
    <t>412929197401202968</t>
  </si>
  <si>
    <t>13937122511</t>
  </si>
  <si>
    <t>A0321</t>
  </si>
  <si>
    <t>何营舟</t>
  </si>
  <si>
    <t>410105197306241612</t>
  </si>
  <si>
    <t>13213218123</t>
  </si>
  <si>
    <t>A0323</t>
  </si>
  <si>
    <t>李翠田</t>
  </si>
  <si>
    <t>412729197310157507</t>
  </si>
  <si>
    <t>13938065115/13838679059</t>
  </si>
  <si>
    <t>A0324</t>
  </si>
  <si>
    <t>王鑫</t>
  </si>
  <si>
    <t>412702199205017421</t>
  </si>
  <si>
    <t>A0325</t>
  </si>
  <si>
    <t>赵鹏</t>
  </si>
  <si>
    <t>410102197404091516</t>
  </si>
  <si>
    <t>郑州市管城回族区紫荆山路99号院2号楼33号</t>
  </si>
  <si>
    <t>A0328</t>
  </si>
  <si>
    <t>刘利珍</t>
  </si>
  <si>
    <t>410102195005120026</t>
  </si>
  <si>
    <t>A0330</t>
  </si>
  <si>
    <t>禹航</t>
  </si>
  <si>
    <t>410102199211240078</t>
  </si>
  <si>
    <t>A0333</t>
  </si>
  <si>
    <t>吕爱荣</t>
  </si>
  <si>
    <t>4101031654710170383</t>
  </si>
  <si>
    <t>13523008865</t>
  </si>
  <si>
    <t>A0349</t>
  </si>
  <si>
    <t>周秀芳</t>
  </si>
  <si>
    <t>411022196801191044</t>
  </si>
  <si>
    <t>13097720101</t>
  </si>
  <si>
    <t>成套住宅</t>
  </si>
  <si>
    <t>A0365</t>
  </si>
  <si>
    <t>刘志刚</t>
  </si>
  <si>
    <t>410881197402040778</t>
  </si>
  <si>
    <t>A0370</t>
  </si>
  <si>
    <t>乔梁</t>
  </si>
  <si>
    <t>412728197907072833</t>
  </si>
  <si>
    <t>房款、维修基金和产权登记费没有收据，维修基金申报金额4178.85元,查看原始凭证后附签约审核单维修基金4178元</t>
  </si>
  <si>
    <t>A0374</t>
  </si>
  <si>
    <t>朱爱先</t>
  </si>
  <si>
    <t>410112195811174443</t>
  </si>
  <si>
    <t>A0376</t>
  </si>
  <si>
    <t>李葆泰</t>
  </si>
  <si>
    <t>410104194512181534</t>
  </si>
  <si>
    <t>13603866485/18624933195</t>
  </si>
  <si>
    <t>A0389</t>
  </si>
  <si>
    <t>杨琳</t>
  </si>
  <si>
    <t>410181198209195061</t>
  </si>
  <si>
    <t>A0390</t>
  </si>
  <si>
    <t>周静静</t>
  </si>
  <si>
    <t>410823198903136648</t>
  </si>
  <si>
    <t>申报的维修基金费5000元比签约审核单上多618元；没有申报产权登记费550元</t>
  </si>
  <si>
    <t>A0391</t>
  </si>
  <si>
    <t>张荣花</t>
  </si>
  <si>
    <t>410523196902096028</t>
  </si>
  <si>
    <t>POS、转账</t>
  </si>
  <si>
    <t>A0393</t>
  </si>
  <si>
    <t>张建伟</t>
  </si>
  <si>
    <t>412722198110147355</t>
  </si>
  <si>
    <t>13673877887</t>
  </si>
  <si>
    <t>A0399</t>
  </si>
  <si>
    <t>吴喜琴</t>
  </si>
  <si>
    <t>410123196510160623</t>
  </si>
  <si>
    <t>13598050286/15238611676</t>
  </si>
  <si>
    <t>A0400</t>
  </si>
  <si>
    <t>刘帅</t>
  </si>
  <si>
    <t>412721199205243815</t>
  </si>
  <si>
    <t>15138375706</t>
  </si>
  <si>
    <t>河南省扶沟县白潭镇王村行政村王村</t>
  </si>
  <si>
    <t>A0403</t>
  </si>
  <si>
    <t>陈晓娟</t>
  </si>
  <si>
    <t>411523198809180049</t>
  </si>
  <si>
    <t>A0407</t>
  </si>
  <si>
    <t>陈嘉琪</t>
  </si>
  <si>
    <t>410526200402200325</t>
  </si>
  <si>
    <t>A0409</t>
  </si>
  <si>
    <t>张永红</t>
  </si>
  <si>
    <t>412724197108183371</t>
  </si>
  <si>
    <t>A0410</t>
  </si>
  <si>
    <t>刘玉梅</t>
  </si>
  <si>
    <t>412724197406145840</t>
  </si>
  <si>
    <t>A0411</t>
  </si>
  <si>
    <t>刘振强</t>
  </si>
  <si>
    <t>410105199109140176</t>
  </si>
  <si>
    <t>A0412</t>
  </si>
  <si>
    <t>韩玉申</t>
  </si>
  <si>
    <t>412726198011024590</t>
  </si>
  <si>
    <t>A0415</t>
  </si>
  <si>
    <t>刘兰英</t>
  </si>
  <si>
    <t>410802197002183029</t>
  </si>
  <si>
    <t>A0419</t>
  </si>
  <si>
    <t>康曼</t>
  </si>
  <si>
    <t>410502198902050529</t>
  </si>
  <si>
    <t>15038063183</t>
  </si>
  <si>
    <t>A0421</t>
  </si>
  <si>
    <t>刘涵</t>
  </si>
  <si>
    <t>41050219991023500X</t>
  </si>
  <si>
    <t>15037288983
13633726199</t>
  </si>
  <si>
    <t>A0425</t>
  </si>
  <si>
    <t>王保莲</t>
  </si>
  <si>
    <t>410112196207154424</t>
  </si>
  <si>
    <t>A0427</t>
  </si>
  <si>
    <t>刘远</t>
  </si>
  <si>
    <t>410105198311206111</t>
  </si>
  <si>
    <t>A0428</t>
  </si>
  <si>
    <t>苏洋</t>
  </si>
  <si>
    <t>410426199005132102</t>
  </si>
  <si>
    <t>A0429</t>
  </si>
  <si>
    <t>焦若琳</t>
  </si>
  <si>
    <t>412823199002070027</t>
  </si>
  <si>
    <t>A0430</t>
  </si>
  <si>
    <t>李雪娟</t>
  </si>
  <si>
    <t>410121197209261224</t>
  </si>
  <si>
    <t>15093336777</t>
  </si>
  <si>
    <t>A0431</t>
  </si>
  <si>
    <t>徐艳</t>
  </si>
  <si>
    <t>410105197106021025</t>
  </si>
  <si>
    <t>13303710989、13937121010</t>
  </si>
  <si>
    <t>A0434</t>
  </si>
  <si>
    <t>邵磊高建梅</t>
  </si>
  <si>
    <t>410703196605270021</t>
  </si>
  <si>
    <t>13837371076 13837199027</t>
  </si>
  <si>
    <t>A0435</t>
  </si>
  <si>
    <t>邵霓青</t>
  </si>
  <si>
    <t>410703199212052027</t>
  </si>
  <si>
    <t>A0440</t>
  </si>
  <si>
    <t>王翠英</t>
  </si>
  <si>
    <t>41270219701126816x</t>
  </si>
  <si>
    <t>13838634897</t>
  </si>
  <si>
    <t>河南省项城市任营路10号</t>
  </si>
  <si>
    <t>A0444</t>
  </si>
  <si>
    <t>肖耀东</t>
  </si>
  <si>
    <t>410702197705280014</t>
  </si>
  <si>
    <t>A0446</t>
  </si>
  <si>
    <t>岳征、王晓莹</t>
  </si>
  <si>
    <t>410103197808043218</t>
  </si>
  <si>
    <t>18703838652、17538706321</t>
  </si>
  <si>
    <t>A0448</t>
  </si>
  <si>
    <t>张茜</t>
  </si>
  <si>
    <t>410603199005190026</t>
  </si>
  <si>
    <t>15290436059/15333819896</t>
  </si>
  <si>
    <t>A0451</t>
  </si>
  <si>
    <t>吉谷风</t>
  </si>
  <si>
    <t>410105196806161016</t>
  </si>
  <si>
    <t>A0453</t>
  </si>
  <si>
    <t>李旻轩</t>
  </si>
  <si>
    <t>410503199902155022</t>
  </si>
  <si>
    <t>郑州市金水区文化路80号院2017级</t>
  </si>
  <si>
    <t>A0457</t>
  </si>
  <si>
    <t>段红伟</t>
  </si>
  <si>
    <t>410106196801130030</t>
  </si>
  <si>
    <t>13603829940/13949076161</t>
  </si>
  <si>
    <t>需退600000应是未付房款600000</t>
  </si>
  <si>
    <t>A0458-1</t>
  </si>
  <si>
    <t>王培霞</t>
  </si>
  <si>
    <t>410481196309030026</t>
  </si>
  <si>
    <t>A0458-2</t>
  </si>
  <si>
    <t>A0460</t>
  </si>
  <si>
    <t>祁彬</t>
  </si>
  <si>
    <t>210221196801094853</t>
  </si>
  <si>
    <t>A0461</t>
  </si>
  <si>
    <t>刘洪英</t>
  </si>
  <si>
    <t>410511196607110688</t>
  </si>
  <si>
    <t>1833999502715890152827</t>
  </si>
  <si>
    <t>郑州市金水区文劳路9号院3号楼63号</t>
  </si>
  <si>
    <t>A0475</t>
  </si>
  <si>
    <t>柴喜玲</t>
  </si>
  <si>
    <t>412701196210022022</t>
  </si>
  <si>
    <t>A0484</t>
  </si>
  <si>
    <t>李俊卿</t>
  </si>
  <si>
    <t>410726198707150032</t>
  </si>
  <si>
    <t>A0485</t>
  </si>
  <si>
    <t>洪艳</t>
  </si>
  <si>
    <t>510921198107059385</t>
  </si>
  <si>
    <t>A0496</t>
  </si>
  <si>
    <t>张东东</t>
  </si>
  <si>
    <t>410923198909203018</t>
  </si>
  <si>
    <t>A0497</t>
  </si>
  <si>
    <t>管建军徐邱豫</t>
  </si>
  <si>
    <t>410105195511131624</t>
  </si>
  <si>
    <t>A0499</t>
  </si>
  <si>
    <t>彭宜昕</t>
  </si>
  <si>
    <t>411727199606088542</t>
  </si>
  <si>
    <t>恒祥实业（兴业银行443401元）</t>
  </si>
  <si>
    <t>恒祥房地产开具收据代开3万元？</t>
  </si>
  <si>
    <t>A0500</t>
  </si>
  <si>
    <t>张慧鹏</t>
  </si>
  <si>
    <t>410306197406300015</t>
  </si>
  <si>
    <t>A0501</t>
  </si>
  <si>
    <t>张慧民</t>
  </si>
  <si>
    <t>410306197104100026</t>
  </si>
  <si>
    <t>A0503</t>
  </si>
  <si>
    <t>周燕群</t>
  </si>
  <si>
    <t>410105197006152829</t>
  </si>
  <si>
    <t>恒祥实业（中国银行27万元，兴业银行269289元）</t>
  </si>
  <si>
    <t>A0504</t>
  </si>
  <si>
    <t>万俐</t>
  </si>
  <si>
    <t>410184198906040048</t>
  </si>
  <si>
    <t>恒祥实业兴业银行；郑州东垚房地产47500元</t>
  </si>
  <si>
    <t>A0513</t>
  </si>
  <si>
    <t>张郭恒</t>
  </si>
  <si>
    <t>410105197812223828</t>
  </si>
  <si>
    <t>13592592348/13592460121</t>
  </si>
  <si>
    <t>A0522</t>
  </si>
  <si>
    <t>张艳青</t>
  </si>
  <si>
    <t>410105197804060523</t>
  </si>
  <si>
    <t>A0526</t>
  </si>
  <si>
    <t>王国强、刘静</t>
  </si>
  <si>
    <t>410523199001013210</t>
  </si>
  <si>
    <t>A0528</t>
  </si>
  <si>
    <t>王伟</t>
  </si>
  <si>
    <t>410502198308191513</t>
  </si>
  <si>
    <t>白国法个人卡收</t>
  </si>
  <si>
    <t>A0529</t>
  </si>
  <si>
    <t>陈丽</t>
  </si>
  <si>
    <t>413025198109290084</t>
  </si>
  <si>
    <t>A0530</t>
  </si>
  <si>
    <t>王婷婷</t>
  </si>
  <si>
    <t>411521198805172524</t>
  </si>
  <si>
    <t>郑州市金水区黄河路9号院3号楼52号</t>
  </si>
  <si>
    <t>A0537</t>
  </si>
  <si>
    <t>李秋锦</t>
  </si>
  <si>
    <t>412301198312114021</t>
  </si>
  <si>
    <t>A0539</t>
  </si>
  <si>
    <t>王品</t>
  </si>
  <si>
    <t>412326198706232140</t>
  </si>
  <si>
    <t>A0541</t>
  </si>
  <si>
    <t>吴彦红</t>
  </si>
  <si>
    <t>371428198911171089</t>
  </si>
  <si>
    <t>A0542</t>
  </si>
  <si>
    <t>韩颖</t>
  </si>
  <si>
    <t>410105198507260048</t>
  </si>
  <si>
    <t>A0551</t>
  </si>
  <si>
    <t>洪伊皖</t>
  </si>
  <si>
    <t>410102199605280048</t>
  </si>
  <si>
    <t>13903712100/13703930010</t>
  </si>
  <si>
    <t>20**/1/6</t>
  </si>
  <si>
    <t>A0561-1</t>
  </si>
  <si>
    <t>徐建波</t>
  </si>
  <si>
    <t>130535197205281116</t>
  </si>
  <si>
    <t>A0561-2</t>
  </si>
  <si>
    <t>A0562</t>
  </si>
  <si>
    <t>刘华清</t>
  </si>
  <si>
    <t>410326198807290912</t>
  </si>
  <si>
    <t>房地产收据2020年换成恒祥实业</t>
  </si>
  <si>
    <t>A0564</t>
  </si>
  <si>
    <t>李甜</t>
  </si>
  <si>
    <t>410901199012254028</t>
  </si>
  <si>
    <t>A0567</t>
  </si>
  <si>
    <t>刘孝刚</t>
  </si>
  <si>
    <t>413026196811146000</t>
  </si>
  <si>
    <t>A0570</t>
  </si>
  <si>
    <t>王晓艺</t>
  </si>
  <si>
    <t>410203197701181544</t>
  </si>
  <si>
    <t>13213016331/15225162399</t>
  </si>
  <si>
    <t>A0571</t>
  </si>
  <si>
    <t>吴晓华</t>
  </si>
  <si>
    <t>412725196908017840</t>
  </si>
  <si>
    <t>15999652022/17637135208</t>
  </si>
  <si>
    <t>A0572</t>
  </si>
  <si>
    <t>田晓礼</t>
  </si>
  <si>
    <t>412725198209160321</t>
  </si>
  <si>
    <t>A0574</t>
  </si>
  <si>
    <t>张瑾</t>
  </si>
  <si>
    <t>410503198910025004</t>
  </si>
  <si>
    <t>15838365875</t>
  </si>
  <si>
    <t>A0577</t>
  </si>
  <si>
    <t>申艳红</t>
  </si>
  <si>
    <t>410123197712230065</t>
  </si>
  <si>
    <t>房款发票为恒祥实业，维修基金、产权费收据为房地产</t>
  </si>
  <si>
    <t>A0578</t>
  </si>
  <si>
    <t>张振江</t>
  </si>
  <si>
    <t>410504196811252014</t>
  </si>
  <si>
    <t>恒祥欠吴新芳钱，吴新芳欠张振江钱，以该住宅抵现金；附张振江认购协议和收据；需补充资料</t>
  </si>
  <si>
    <t>A0579</t>
  </si>
  <si>
    <t>张丹</t>
  </si>
  <si>
    <t>41010319780525372X</t>
  </si>
  <si>
    <t>A0580</t>
  </si>
  <si>
    <t>蔡琳</t>
  </si>
  <si>
    <t>411521198709143117</t>
  </si>
  <si>
    <t>A0581</t>
  </si>
  <si>
    <t>郭敬东    赵蕾</t>
  </si>
  <si>
    <t>412925197204050015</t>
  </si>
  <si>
    <t>A0582</t>
  </si>
  <si>
    <t>高红岩</t>
  </si>
  <si>
    <t>410523197711300027</t>
  </si>
  <si>
    <t>购房活动费3千元刷给沃之野</t>
  </si>
  <si>
    <t>A0583</t>
  </si>
  <si>
    <t>张杰</t>
  </si>
  <si>
    <t>410121197604100017</t>
  </si>
  <si>
    <t>A0588</t>
  </si>
  <si>
    <t>王花果</t>
  </si>
  <si>
    <t>410325197102046029</t>
  </si>
  <si>
    <t>A0589</t>
  </si>
  <si>
    <t>张献军</t>
  </si>
  <si>
    <t>410523197609225032</t>
  </si>
  <si>
    <t>A0590</t>
  </si>
  <si>
    <t>A0591</t>
  </si>
  <si>
    <t>梁冰</t>
  </si>
  <si>
    <t>410711197606051546</t>
  </si>
  <si>
    <t>15537176255/15837172975</t>
  </si>
  <si>
    <t>A0594</t>
  </si>
  <si>
    <t>王朋燕</t>
  </si>
  <si>
    <t>410725199801011686</t>
  </si>
  <si>
    <t>13381258535 13598823307</t>
  </si>
  <si>
    <t>未申报按揭汇款36万，需核实情况</t>
  </si>
  <si>
    <t>A0598</t>
  </si>
  <si>
    <t>李琳</t>
  </si>
  <si>
    <t>412301197906014541</t>
  </si>
  <si>
    <t>A0601</t>
  </si>
  <si>
    <t>刘吉华</t>
  </si>
  <si>
    <t>410105197406081644</t>
  </si>
  <si>
    <t>A0602</t>
  </si>
  <si>
    <t>陈晨</t>
  </si>
  <si>
    <t>410103198205142465</t>
  </si>
  <si>
    <t>18638118053</t>
  </si>
  <si>
    <t>A0615</t>
  </si>
  <si>
    <t>刘宜静</t>
  </si>
  <si>
    <t>41010219930207006X</t>
  </si>
  <si>
    <t>A0616</t>
  </si>
  <si>
    <t>410105196801281027</t>
  </si>
  <si>
    <t>房地产收据（收马千惠）2020年换成恒祥实业（收王鑫）</t>
  </si>
  <si>
    <t>A0619</t>
  </si>
  <si>
    <t>王志鑫张慧馨</t>
  </si>
  <si>
    <t>410105198202081671410727198608056223</t>
  </si>
  <si>
    <t>A0621</t>
  </si>
  <si>
    <t>吕海波</t>
  </si>
  <si>
    <t>41282519830827491X</t>
  </si>
  <si>
    <t>A0622</t>
  </si>
  <si>
    <t>付亚杰</t>
  </si>
  <si>
    <t>412825198807064984</t>
  </si>
  <si>
    <t>A0628</t>
  </si>
  <si>
    <t>刘亚南</t>
  </si>
  <si>
    <t>410103198208281938</t>
  </si>
  <si>
    <t>13663006225/15637118626</t>
  </si>
  <si>
    <t>A0630</t>
  </si>
  <si>
    <t>付亚萍/周广</t>
  </si>
  <si>
    <t>412825198503214920</t>
  </si>
  <si>
    <t>13783697700/13937104424</t>
  </si>
  <si>
    <t>A0631</t>
  </si>
  <si>
    <t>周广</t>
  </si>
  <si>
    <t>410102198410180077</t>
  </si>
  <si>
    <t>A0632</t>
  </si>
  <si>
    <t>李光明</t>
  </si>
  <si>
    <t>410104198210312023</t>
  </si>
  <si>
    <t>16603712127/13937132389</t>
  </si>
  <si>
    <t>A0634</t>
  </si>
  <si>
    <t>张宇</t>
  </si>
  <si>
    <t>410323198301190519</t>
  </si>
  <si>
    <t>NK</t>
  </si>
  <si>
    <t>A0636</t>
  </si>
  <si>
    <t>周燕景</t>
  </si>
  <si>
    <t>41050319690507104X</t>
  </si>
  <si>
    <t>13949507784、17719819051/15503723817</t>
  </si>
  <si>
    <t>A0637</t>
  </si>
  <si>
    <t>董晖珺</t>
  </si>
  <si>
    <t>410183199005282128</t>
  </si>
  <si>
    <t>13523069690/13938568225</t>
  </si>
  <si>
    <t>A0640</t>
  </si>
  <si>
    <t>王亚</t>
  </si>
  <si>
    <t>410102199008080064</t>
  </si>
  <si>
    <t>13526635067</t>
  </si>
  <si>
    <t>A0641</t>
  </si>
  <si>
    <t>410101198610173529</t>
  </si>
  <si>
    <t>13903850611/18638106710</t>
  </si>
  <si>
    <t>A0644</t>
  </si>
  <si>
    <t>齐新华</t>
  </si>
  <si>
    <t>13526662289</t>
  </si>
  <si>
    <t>A0645</t>
  </si>
  <si>
    <t>豁祖华</t>
  </si>
  <si>
    <t>413023195312260001X</t>
  </si>
  <si>
    <t>13633820198</t>
  </si>
  <si>
    <t>A0646</t>
  </si>
  <si>
    <t>孔令鹏</t>
  </si>
  <si>
    <t>410781198907100819</t>
  </si>
  <si>
    <t>A0650</t>
  </si>
  <si>
    <t>张晓琴</t>
  </si>
  <si>
    <t>410105195504151125</t>
  </si>
  <si>
    <t>A0651</t>
  </si>
  <si>
    <t>秦芳</t>
  </si>
  <si>
    <t>410603198905010022</t>
  </si>
  <si>
    <t>GS</t>
  </si>
  <si>
    <t>A0652</t>
  </si>
  <si>
    <t>秦丹</t>
  </si>
  <si>
    <t>410603199108190045</t>
  </si>
  <si>
    <t>2015年房地产收据266916元2018年换成发票</t>
  </si>
  <si>
    <t>A0665-1</t>
  </si>
  <si>
    <t>李梦梦</t>
  </si>
  <si>
    <t>410422198906120029</t>
  </si>
  <si>
    <t>A0665-2</t>
  </si>
  <si>
    <t>18538063900</t>
  </si>
  <si>
    <t>A0666</t>
  </si>
  <si>
    <t>付惠玲</t>
  </si>
  <si>
    <t>410781195210030423</t>
  </si>
  <si>
    <t>13598061360/15838052750</t>
  </si>
  <si>
    <t>GXN</t>
  </si>
  <si>
    <t>A0670</t>
  </si>
  <si>
    <t>张飞虎</t>
  </si>
  <si>
    <t>410181198507046910</t>
  </si>
  <si>
    <t>A0672</t>
  </si>
  <si>
    <t>秦兰册</t>
  </si>
  <si>
    <t>410224198510020322</t>
  </si>
  <si>
    <t>18638189664</t>
  </si>
  <si>
    <t>河南省开封县城关镇科教大道清华园7号楼1单元401室</t>
  </si>
  <si>
    <t>白国法兴业卡27万元</t>
  </si>
  <si>
    <t>代开费3万元？</t>
  </si>
  <si>
    <t>A0674</t>
  </si>
  <si>
    <t>白迪</t>
  </si>
  <si>
    <t>410105198209103319</t>
  </si>
  <si>
    <t>A0675</t>
  </si>
  <si>
    <t>刘晶晶</t>
  </si>
  <si>
    <t>410103198206121922</t>
  </si>
  <si>
    <t>18003839111/18530950866</t>
  </si>
  <si>
    <t>A0676</t>
  </si>
  <si>
    <t>王朝杰</t>
  </si>
  <si>
    <t>410422197502112212</t>
  </si>
  <si>
    <t>收据上写预约保留金</t>
  </si>
  <si>
    <t>A0684</t>
  </si>
  <si>
    <t>骆俊</t>
  </si>
  <si>
    <t>411523198708210421</t>
  </si>
  <si>
    <t>18666206253、15978356002</t>
  </si>
  <si>
    <t>A0689</t>
  </si>
  <si>
    <t>陈荣花</t>
  </si>
  <si>
    <t>41010519580222752X</t>
  </si>
  <si>
    <t>A0691</t>
  </si>
  <si>
    <t>赵建武</t>
  </si>
  <si>
    <t>410105195301061613</t>
  </si>
  <si>
    <t>18638566949/13526730738</t>
  </si>
  <si>
    <t>A0693</t>
  </si>
  <si>
    <t>王水平</t>
  </si>
  <si>
    <t>412723197502112145</t>
  </si>
  <si>
    <t>河南省荥阳市广武镇广武村广武0272号</t>
  </si>
  <si>
    <t>A0696</t>
  </si>
  <si>
    <t>李燕红</t>
  </si>
  <si>
    <t>410901197612254022</t>
  </si>
  <si>
    <t>15603721114/13783807689</t>
  </si>
  <si>
    <t>A0700</t>
  </si>
  <si>
    <t>梁恩建</t>
  </si>
  <si>
    <t>410105196103100516</t>
  </si>
  <si>
    <t>A0702</t>
  </si>
  <si>
    <t>马浩</t>
  </si>
  <si>
    <t>瑞恒工抵房，销控表未登记，朱景华收据。需提供《以房抵债协议书》</t>
  </si>
  <si>
    <t>A0703</t>
  </si>
  <si>
    <t>金现英</t>
  </si>
  <si>
    <t>410108195906151522</t>
  </si>
  <si>
    <t>需退的670元和产权登记费没有申报，但附收据；</t>
  </si>
  <si>
    <t>A0705</t>
  </si>
  <si>
    <t>王向阳</t>
  </si>
  <si>
    <t>18603947070/13592286062</t>
  </si>
  <si>
    <t>A0709</t>
  </si>
  <si>
    <t>李立</t>
  </si>
  <si>
    <t>13837191956</t>
  </si>
  <si>
    <t>A0713</t>
  </si>
  <si>
    <t>董德臣</t>
  </si>
  <si>
    <t>410125197003281057</t>
  </si>
  <si>
    <t>13598022158</t>
  </si>
  <si>
    <t>A0715</t>
  </si>
  <si>
    <t>贾国强</t>
  </si>
  <si>
    <t>410105197612131016</t>
  </si>
  <si>
    <t>18939510063、15937180093</t>
  </si>
  <si>
    <t>郑州市金水区经五路15号附19号院2号楼15号</t>
  </si>
  <si>
    <t>需退多交房款6516元</t>
  </si>
  <si>
    <t>A0717</t>
  </si>
  <si>
    <t>张曼</t>
  </si>
  <si>
    <t>410105197003220020</t>
  </si>
  <si>
    <t>A0721</t>
  </si>
  <si>
    <t>史军伟</t>
  </si>
  <si>
    <t>410425198404076514</t>
  </si>
  <si>
    <t>18071989600
13526507991</t>
  </si>
  <si>
    <t>QYX</t>
  </si>
  <si>
    <t>A0722</t>
  </si>
  <si>
    <t>周圣岩</t>
  </si>
  <si>
    <t>411425199303028113</t>
  </si>
  <si>
    <t>A0727</t>
  </si>
  <si>
    <t>周华/周克显</t>
  </si>
  <si>
    <t>412728197909092555</t>
  </si>
  <si>
    <t>A0728</t>
  </si>
  <si>
    <t>陆振新</t>
  </si>
  <si>
    <t>412726196510146079</t>
  </si>
  <si>
    <t>13523687582/18538603080</t>
  </si>
  <si>
    <t>A0729</t>
  </si>
  <si>
    <t>黄美玲</t>
  </si>
  <si>
    <t>41078219860819476X</t>
  </si>
  <si>
    <t>A0730</t>
  </si>
  <si>
    <t>李晓</t>
  </si>
  <si>
    <t>41018419880501182X</t>
  </si>
  <si>
    <t>13949043627/18503890822</t>
  </si>
  <si>
    <t>业主未申报维修基金和登记费</t>
  </si>
  <si>
    <t>A0734</t>
  </si>
  <si>
    <t>刘新玲</t>
  </si>
  <si>
    <t>410105196705138407</t>
  </si>
  <si>
    <t>13643819042/15378773232</t>
  </si>
  <si>
    <t>郑州市金水区沙口路31号院33号楼17号</t>
  </si>
  <si>
    <t>A0736</t>
  </si>
  <si>
    <t>李文静</t>
  </si>
  <si>
    <t>410523197311043092</t>
  </si>
  <si>
    <t>A0742</t>
  </si>
  <si>
    <t>程文召</t>
  </si>
  <si>
    <t>412701196804031516</t>
  </si>
  <si>
    <t>A0744-1</t>
  </si>
  <si>
    <t>尚小雪</t>
  </si>
  <si>
    <t>411325198811274169</t>
  </si>
  <si>
    <t>A0744-2</t>
  </si>
  <si>
    <t>411325199811274169</t>
  </si>
  <si>
    <t>A0747</t>
  </si>
  <si>
    <t>曹云朋</t>
  </si>
  <si>
    <t>411122199109024017</t>
  </si>
  <si>
    <t>13937105919</t>
  </si>
  <si>
    <t>恒祥实业4304元；恒祥房地产收389905元</t>
  </si>
  <si>
    <t>附银行流水，无收据，389905元转给恒祥房地产</t>
  </si>
  <si>
    <t>A0751</t>
  </si>
  <si>
    <t>杨姣</t>
  </si>
  <si>
    <t>410203198606031024</t>
  </si>
  <si>
    <t>A0752</t>
  </si>
  <si>
    <t>张鹏</t>
  </si>
  <si>
    <t>410105197901083313</t>
  </si>
  <si>
    <t>A0753</t>
  </si>
  <si>
    <t>赵庆华</t>
  </si>
  <si>
    <t>410503197310023027</t>
  </si>
  <si>
    <t>A0754</t>
  </si>
  <si>
    <t>仉杨</t>
  </si>
  <si>
    <t>410504198006051024</t>
  </si>
  <si>
    <t>A0756</t>
  </si>
  <si>
    <t>李丹阳</t>
  </si>
  <si>
    <t>410304199604042519</t>
  </si>
  <si>
    <t>电商费3000元有收据未申报</t>
  </si>
  <si>
    <t>A0759</t>
  </si>
  <si>
    <t>孙少琼</t>
  </si>
  <si>
    <t>410421198409111061</t>
  </si>
  <si>
    <t>A0760</t>
  </si>
  <si>
    <t>赵昊</t>
  </si>
  <si>
    <t>413023197401150057</t>
  </si>
  <si>
    <t>销控表上此住宅为拆迁预留，无业主信息，申报业主为赵昊，付款人为宋洋</t>
  </si>
  <si>
    <t>A0761</t>
  </si>
  <si>
    <t>刘清如</t>
  </si>
  <si>
    <t>412725197701181111</t>
  </si>
  <si>
    <t>13525799718</t>
  </si>
  <si>
    <t>A0764</t>
  </si>
  <si>
    <t>宋洋</t>
  </si>
  <si>
    <t>410105198104251622</t>
  </si>
  <si>
    <t>18621055789</t>
  </si>
  <si>
    <t>A0770</t>
  </si>
  <si>
    <t>王萌</t>
  </si>
  <si>
    <t>411403198706180926</t>
  </si>
  <si>
    <t>13503710763</t>
  </si>
  <si>
    <t>A0773</t>
  </si>
  <si>
    <t>陈慧芳</t>
  </si>
  <si>
    <t>41140319841219752X</t>
  </si>
  <si>
    <t>13603456215</t>
  </si>
  <si>
    <t>A0777-1</t>
  </si>
  <si>
    <t>付群芝</t>
  </si>
  <si>
    <t>412723197101208146</t>
  </si>
  <si>
    <t>13948310215/13084297670</t>
  </si>
  <si>
    <t>A0778</t>
  </si>
  <si>
    <t>张颖、王现锋</t>
  </si>
  <si>
    <t>411425198701174832</t>
  </si>
  <si>
    <t>A0788</t>
  </si>
  <si>
    <t>焦瑞</t>
  </si>
  <si>
    <t>41010219791120102X</t>
  </si>
  <si>
    <t>A0791</t>
  </si>
  <si>
    <t>黄玉冉</t>
  </si>
  <si>
    <t>410926199409284425</t>
  </si>
  <si>
    <t>A0796</t>
  </si>
  <si>
    <t>魏玉霞</t>
  </si>
  <si>
    <t>410105195911293868</t>
  </si>
  <si>
    <t>A0798</t>
  </si>
  <si>
    <t>韩风姣</t>
  </si>
  <si>
    <t>410526196507152025</t>
  </si>
  <si>
    <t>18538032733/15237116886</t>
  </si>
  <si>
    <t xml:space="preserve">多申报的定金2万已包含在房款李，系申报重复
</t>
  </si>
  <si>
    <t>A0800</t>
  </si>
  <si>
    <t>李小惠</t>
  </si>
  <si>
    <t>410426197908201026</t>
  </si>
  <si>
    <t>A0809</t>
  </si>
  <si>
    <t>张洋</t>
  </si>
  <si>
    <t>410105199112120037</t>
  </si>
  <si>
    <t>A0812</t>
  </si>
  <si>
    <t>张燕</t>
  </si>
  <si>
    <t>411330198906121561</t>
  </si>
  <si>
    <t>13838253256</t>
  </si>
  <si>
    <t>A0820</t>
  </si>
  <si>
    <t>刘垚峰</t>
  </si>
  <si>
    <t>410928198103010091</t>
  </si>
  <si>
    <t>18538226900</t>
  </si>
  <si>
    <t>A0822</t>
  </si>
  <si>
    <t>杨铁娜</t>
  </si>
  <si>
    <t>411303198005282449</t>
  </si>
  <si>
    <t>申报房款比销控表多226960元,提供资料中无收据,需提供。</t>
  </si>
  <si>
    <t>A0823</t>
  </si>
  <si>
    <t>李梅英</t>
  </si>
  <si>
    <t>410105198611030058</t>
  </si>
  <si>
    <t>13598402314/15515633328</t>
  </si>
  <si>
    <t>A0826</t>
  </si>
  <si>
    <t>李雪娜</t>
  </si>
  <si>
    <t>41130219801215350X</t>
  </si>
  <si>
    <t>A0827</t>
  </si>
  <si>
    <t>纪兰</t>
  </si>
  <si>
    <t>410502196404093041</t>
  </si>
  <si>
    <t>15993808866/15937275999</t>
  </si>
  <si>
    <t>河南省安阳市北关区人民大道三巷7号楼7号</t>
  </si>
  <si>
    <t>A0828</t>
  </si>
  <si>
    <t>赵钰</t>
  </si>
  <si>
    <t>412822197906030495</t>
  </si>
  <si>
    <t>19903716763/18003712277</t>
  </si>
  <si>
    <t>A0829</t>
  </si>
  <si>
    <t>贾敬然</t>
  </si>
  <si>
    <t>410102198212152542</t>
  </si>
  <si>
    <t>13633809321</t>
  </si>
  <si>
    <t>A0834</t>
  </si>
  <si>
    <t>张蔚</t>
  </si>
  <si>
    <t>411303197911011523</t>
  </si>
  <si>
    <t>13838091037</t>
  </si>
  <si>
    <t>A0835</t>
  </si>
  <si>
    <t>宋国芳</t>
  </si>
  <si>
    <t>维修基金和登记费销控表无，已核对账面</t>
  </si>
  <si>
    <t>A0838-2</t>
  </si>
  <si>
    <t>常燕</t>
  </si>
  <si>
    <t>41010519740725712X</t>
  </si>
  <si>
    <t>13653712680</t>
  </si>
  <si>
    <t>郑州市金水区东明路176号院1号楼15号</t>
  </si>
  <si>
    <t>A0843</t>
  </si>
  <si>
    <t>卜黎明</t>
  </si>
  <si>
    <t>410504197003172037</t>
  </si>
  <si>
    <t>A0844</t>
  </si>
  <si>
    <t>杨方玲</t>
  </si>
  <si>
    <t>410726199211273826</t>
  </si>
  <si>
    <t>13103716221</t>
  </si>
  <si>
    <t>郑州市经济技术开发区航海东路1369号院格林社区1号</t>
  </si>
  <si>
    <t xml:space="preserve">杨方玲申报房款与账面金额均是1381280元，未提到需退款229元
</t>
  </si>
  <si>
    <t>A0845</t>
  </si>
  <si>
    <t>张利敏</t>
  </si>
  <si>
    <t>410725198709122426</t>
  </si>
  <si>
    <t>A0851</t>
  </si>
  <si>
    <t>13353860888</t>
  </si>
  <si>
    <t>A0854</t>
  </si>
  <si>
    <t>段远桦</t>
  </si>
  <si>
    <t>412721197609121428</t>
  </si>
  <si>
    <t>A0856</t>
  </si>
  <si>
    <t>孟珊</t>
  </si>
  <si>
    <t>410203197311130020</t>
  </si>
  <si>
    <t>18595673366</t>
  </si>
  <si>
    <t>A0857</t>
  </si>
  <si>
    <t>雷晨光</t>
  </si>
  <si>
    <t>41010519930215019X</t>
  </si>
  <si>
    <t>15890103933</t>
  </si>
  <si>
    <t>A0858</t>
  </si>
  <si>
    <t>张景慧</t>
  </si>
  <si>
    <t>412931196505140404</t>
  </si>
  <si>
    <t>13782192996</t>
  </si>
  <si>
    <t>A0859-1</t>
  </si>
  <si>
    <t>任娟丽</t>
  </si>
  <si>
    <t>410105196806203327</t>
  </si>
  <si>
    <t>任娟丽备注：收据被收走。申报的证本费80，维修基金记不清，按销控表数据认定</t>
  </si>
  <si>
    <t>A0860</t>
  </si>
  <si>
    <t>樊桂荣</t>
  </si>
  <si>
    <t>41010419390902302X</t>
  </si>
  <si>
    <t>16603712216</t>
  </si>
  <si>
    <t>A0871</t>
  </si>
  <si>
    <t>范新超</t>
  </si>
  <si>
    <t>410105198910210137</t>
  </si>
  <si>
    <t>13213018760</t>
  </si>
  <si>
    <t>A0873</t>
  </si>
  <si>
    <t>张世范</t>
  </si>
  <si>
    <t>411102197012150573</t>
  </si>
  <si>
    <t>15838337876/13213050523</t>
  </si>
  <si>
    <t>A0876</t>
  </si>
  <si>
    <t>张士轩</t>
  </si>
  <si>
    <t>410621197010272011</t>
  </si>
  <si>
    <t>15003718868</t>
  </si>
  <si>
    <t>A0878</t>
  </si>
  <si>
    <t>高俊英</t>
  </si>
  <si>
    <t>41272819660320728X</t>
  </si>
  <si>
    <t>15890639387/13352779641</t>
  </si>
  <si>
    <t>未申报银行按揭款，实际已办理按揭公司账户已收款</t>
  </si>
  <si>
    <t>A0879</t>
  </si>
  <si>
    <t>宿依楠</t>
  </si>
  <si>
    <t>612325198808131448</t>
  </si>
  <si>
    <t>18339222612、15517526655</t>
  </si>
  <si>
    <t>房款已全部开具恒祥实业发票</t>
  </si>
  <si>
    <t>A0880</t>
  </si>
  <si>
    <t>赵梅芝</t>
  </si>
  <si>
    <t>410105193510021045</t>
  </si>
  <si>
    <t>A0887</t>
  </si>
  <si>
    <t>雷沛</t>
  </si>
  <si>
    <t>420204198601066517</t>
  </si>
  <si>
    <t>15093319983</t>
  </si>
  <si>
    <t>A0889</t>
  </si>
  <si>
    <t>韩军燕</t>
  </si>
  <si>
    <t>18503873225</t>
  </si>
  <si>
    <t>A0890-1</t>
  </si>
  <si>
    <t>胡瑞甫</t>
  </si>
  <si>
    <t>41050419490712101X</t>
  </si>
  <si>
    <t>A0890-2</t>
  </si>
  <si>
    <t>A0890-3</t>
  </si>
  <si>
    <t>收据丢失，已核实账面</t>
  </si>
  <si>
    <t>A0890-4</t>
  </si>
  <si>
    <t>A0895</t>
  </si>
  <si>
    <t>彭羽佳</t>
  </si>
  <si>
    <t>41010319840601008x</t>
  </si>
  <si>
    <t>13526828007</t>
  </si>
  <si>
    <t>A0896</t>
  </si>
  <si>
    <t>张建强</t>
  </si>
  <si>
    <t>410711197703051011</t>
  </si>
  <si>
    <t>A0898</t>
  </si>
  <si>
    <t>潘正阳</t>
  </si>
  <si>
    <t>410503199004145033</t>
  </si>
  <si>
    <t>A0899</t>
  </si>
  <si>
    <t>李学军</t>
  </si>
  <si>
    <t>41010319661230133X</t>
  </si>
  <si>
    <t>A0900</t>
  </si>
  <si>
    <t>陈瑞英</t>
  </si>
  <si>
    <t>410102196209263015</t>
  </si>
  <si>
    <t>A0908</t>
  </si>
  <si>
    <t>田莹</t>
  </si>
  <si>
    <t>410112196403044417</t>
  </si>
  <si>
    <t>13525564784</t>
  </si>
  <si>
    <t>申报的维修基金为4765，实际为4761</t>
  </si>
  <si>
    <t>A0911</t>
  </si>
  <si>
    <t>张剑锐</t>
  </si>
  <si>
    <t>41010419780820601X</t>
  </si>
  <si>
    <t>A0915</t>
  </si>
  <si>
    <t>崔凤贺</t>
  </si>
  <si>
    <t>412821197906227259</t>
  </si>
  <si>
    <t>15939042859</t>
  </si>
  <si>
    <t>A0919</t>
  </si>
  <si>
    <t>王丁丁</t>
  </si>
  <si>
    <t>320103196910041028</t>
  </si>
  <si>
    <t>王丁丁没有收据，按销控表数据认定</t>
  </si>
  <si>
    <t>A0921</t>
  </si>
  <si>
    <t>杨观军</t>
  </si>
  <si>
    <t>41010319630429131X</t>
  </si>
  <si>
    <t>A0923</t>
  </si>
  <si>
    <t>岳宁静</t>
  </si>
  <si>
    <t>410326200101107521</t>
  </si>
  <si>
    <t>A0933</t>
  </si>
  <si>
    <t>王泽覃</t>
  </si>
  <si>
    <t>411424198806298413</t>
  </si>
  <si>
    <t>13838568929</t>
  </si>
  <si>
    <t>A0937</t>
  </si>
  <si>
    <t>张爱华</t>
  </si>
  <si>
    <t>412724197101120028</t>
  </si>
  <si>
    <t>李昱2015年付首付264846元（房地产开具收据），2017年转让给女儿李天歌，李天歌补交剩余房款（房地产开具830975元收据），2020年6月李天歌将房屋产权转让给母亲张爱华（2020年收据830975元均替换为恒祥实业开具）</t>
  </si>
  <si>
    <t>A0938</t>
  </si>
  <si>
    <t>苗海峰</t>
  </si>
  <si>
    <t>410603198204261531</t>
  </si>
  <si>
    <t>A0941</t>
  </si>
  <si>
    <t>薛建英</t>
  </si>
  <si>
    <t>410423196808050044</t>
  </si>
  <si>
    <t>未附合同，公司账面未找到凭证，需补充资料</t>
  </si>
  <si>
    <t>A0945</t>
  </si>
  <si>
    <t>孟亚</t>
  </si>
  <si>
    <t>13703851019</t>
  </si>
  <si>
    <t>签约审核单区分了房款、维修基金和登记费，收据仅显示总金额635456.</t>
  </si>
  <si>
    <t>A0947</t>
  </si>
  <si>
    <t>魏炎炎</t>
  </si>
  <si>
    <t>413001197106120025</t>
  </si>
  <si>
    <t>A0953</t>
  </si>
  <si>
    <t>李留民</t>
  </si>
  <si>
    <t>410402196709243543</t>
  </si>
  <si>
    <t>15838274618</t>
  </si>
  <si>
    <t>A0954</t>
  </si>
  <si>
    <t>孙静梅</t>
  </si>
  <si>
    <t>41138119790422794X</t>
  </si>
  <si>
    <t>未提供产权登记费收据，但签约审核单有该金额，台账也有</t>
  </si>
  <si>
    <t>A0956</t>
  </si>
  <si>
    <t>杨莹</t>
  </si>
  <si>
    <t>410103197604152420</t>
  </si>
  <si>
    <t>A0960</t>
  </si>
  <si>
    <t>刘通</t>
  </si>
  <si>
    <t>410502199107100018</t>
  </si>
  <si>
    <t>A0962</t>
  </si>
  <si>
    <t>要雅倩</t>
  </si>
  <si>
    <t>410426197907150108</t>
  </si>
  <si>
    <t>13939009388</t>
  </si>
  <si>
    <t>A0964</t>
  </si>
  <si>
    <t>李敏</t>
  </si>
  <si>
    <t>41012119741220054X</t>
  </si>
  <si>
    <t>A0965</t>
  </si>
  <si>
    <t>马守锋、时姝洁</t>
  </si>
  <si>
    <t>41232119780416391241272719790201008X</t>
  </si>
  <si>
    <t>18638772602/13598038193</t>
  </si>
  <si>
    <t>A0966</t>
  </si>
  <si>
    <t>张曦元</t>
  </si>
  <si>
    <t>410503199012275006</t>
  </si>
  <si>
    <t>13653723380、18037288811</t>
  </si>
  <si>
    <t>A0968</t>
  </si>
  <si>
    <t>徐俊娥</t>
  </si>
  <si>
    <t>412325197603195120</t>
  </si>
  <si>
    <t>A0973</t>
  </si>
  <si>
    <t>张洁</t>
  </si>
  <si>
    <t>410181198605104061</t>
  </si>
  <si>
    <t>A0974</t>
  </si>
  <si>
    <t>刘娅</t>
  </si>
  <si>
    <t>410105198207281648</t>
  </si>
  <si>
    <t>18637118111</t>
  </si>
  <si>
    <t>2017/111/24</t>
  </si>
  <si>
    <t>A0976</t>
  </si>
  <si>
    <t>王睿涛</t>
  </si>
  <si>
    <t>41010519770318165x</t>
  </si>
  <si>
    <t>A0978</t>
  </si>
  <si>
    <t>段静</t>
  </si>
  <si>
    <t>410527199110165020</t>
  </si>
  <si>
    <t>A0980</t>
  </si>
  <si>
    <t>高欢欢</t>
  </si>
  <si>
    <t>410782198608192780</t>
  </si>
  <si>
    <t>利息：1、158759*0.0365/12*51=24627元；2、110000*0.0365/12*46=15391元；3、110000*0.0365/12*41=13718元；利息合计53736元，所附商品房认购协议中违约金暂未约定</t>
  </si>
  <si>
    <t>A0983</t>
  </si>
  <si>
    <t>张玉鑫</t>
  </si>
  <si>
    <t>412825199307071525</t>
  </si>
  <si>
    <t>A0984</t>
  </si>
  <si>
    <t>魏诗瑛</t>
  </si>
  <si>
    <t>410103196609181920</t>
  </si>
  <si>
    <t>13838065271</t>
  </si>
  <si>
    <t>白国法兴业卡收848220，公司账面未找到；附房地产收据</t>
  </si>
  <si>
    <t>A0985</t>
  </si>
  <si>
    <t>谢磊</t>
  </si>
  <si>
    <t>410105197503181655</t>
  </si>
  <si>
    <t>13613869915</t>
  </si>
  <si>
    <t>A0986</t>
  </si>
  <si>
    <t>张海涛</t>
  </si>
  <si>
    <t>410126197912270319</t>
  </si>
  <si>
    <t>A0992</t>
  </si>
  <si>
    <t>刘冰</t>
  </si>
  <si>
    <t>410105197510150523</t>
  </si>
  <si>
    <t>18537196331</t>
  </si>
  <si>
    <t>A0995-1</t>
  </si>
  <si>
    <t>张斌</t>
  </si>
  <si>
    <t>410728197109060537</t>
  </si>
  <si>
    <t>A0995-2</t>
  </si>
  <si>
    <t>A0997-1</t>
  </si>
  <si>
    <t>赵亚蕾</t>
  </si>
  <si>
    <t>411303198306026764</t>
  </si>
  <si>
    <t>A0997-2</t>
  </si>
  <si>
    <t>A0998</t>
  </si>
  <si>
    <t>孙瑜</t>
  </si>
  <si>
    <t>410181198508095028</t>
  </si>
  <si>
    <t>A0999</t>
  </si>
  <si>
    <t>陈利</t>
  </si>
  <si>
    <t>410727198103074127</t>
  </si>
  <si>
    <t>郑州市中原区工人路332号院22号楼48号</t>
  </si>
  <si>
    <t>A1003</t>
  </si>
  <si>
    <t>贾辉     陈新慧</t>
  </si>
  <si>
    <t>410123197904200012  410123197708030028</t>
  </si>
  <si>
    <t>13838096516 13849055788</t>
  </si>
  <si>
    <t>A1005</t>
  </si>
  <si>
    <t>魏时娜</t>
  </si>
  <si>
    <t>410522198903053786</t>
  </si>
  <si>
    <t>16799695555</t>
  </si>
  <si>
    <t>A1006</t>
  </si>
  <si>
    <t>靳冉</t>
  </si>
  <si>
    <t>410503198712150023</t>
  </si>
  <si>
    <t>18537209085</t>
  </si>
  <si>
    <t>A1007</t>
  </si>
  <si>
    <t>孙君芳</t>
  </si>
  <si>
    <t>41108219940605124X</t>
  </si>
  <si>
    <t>A1008</t>
  </si>
  <si>
    <t>陈凯丽</t>
  </si>
  <si>
    <t>411425199412075760</t>
  </si>
  <si>
    <t>19937658566</t>
  </si>
  <si>
    <t>A1009</t>
  </si>
  <si>
    <t>杨毅</t>
  </si>
  <si>
    <t>410102199106070011</t>
  </si>
  <si>
    <t>17303810867</t>
  </si>
  <si>
    <t>郑州市金水区政六街32号院2号楼47号</t>
  </si>
  <si>
    <t>A1012</t>
  </si>
  <si>
    <t>海冰</t>
  </si>
  <si>
    <t>410102198508260163</t>
  </si>
  <si>
    <t>A1016</t>
  </si>
  <si>
    <t>熊明珠</t>
  </si>
  <si>
    <t>411523198712166021</t>
  </si>
  <si>
    <t>附蔡华、恒祥实业、熊明珠三方和解协议书；蔡华出具的收据</t>
  </si>
  <si>
    <t>A1017</t>
  </si>
  <si>
    <t>王宇宁</t>
  </si>
  <si>
    <t>410105197101079025</t>
  </si>
  <si>
    <t>A1020</t>
  </si>
  <si>
    <t>段磊</t>
  </si>
  <si>
    <t>410105197410242797</t>
  </si>
  <si>
    <t>13849198281</t>
  </si>
  <si>
    <t>A1022-1</t>
  </si>
  <si>
    <t>李亚囡</t>
  </si>
  <si>
    <t>412701198101102022</t>
  </si>
  <si>
    <t>A1022-2</t>
  </si>
  <si>
    <t>A1024</t>
  </si>
  <si>
    <t>李浩嘉</t>
  </si>
  <si>
    <t>412702199606140092</t>
  </si>
  <si>
    <t>18503890614</t>
  </si>
  <si>
    <t>A1025</t>
  </si>
  <si>
    <t>李美桦</t>
  </si>
  <si>
    <t>412702200011090108</t>
  </si>
  <si>
    <t>郑州市经七路15号附4号院11号楼85号</t>
  </si>
  <si>
    <t>A1028</t>
  </si>
  <si>
    <t>朱聚宝</t>
  </si>
  <si>
    <t>412721198509040078</t>
  </si>
  <si>
    <t>15981838763/13525576586</t>
  </si>
  <si>
    <t>A1029</t>
  </si>
  <si>
    <t xml:space="preserve"> 杨淑云</t>
  </si>
  <si>
    <t>410122195112020042</t>
  </si>
  <si>
    <t>A1030</t>
  </si>
  <si>
    <t>孙牧迪</t>
  </si>
  <si>
    <t>412727198903113616</t>
  </si>
  <si>
    <t>15890031697</t>
  </si>
  <si>
    <t xml:space="preserve">差异5千元：债权申报人备注为购房订金，附银行流水转至深圳滴滴找房网络科技公司，没有收据
</t>
  </si>
  <si>
    <t>A1032</t>
  </si>
  <si>
    <t>马杨宁</t>
  </si>
  <si>
    <t>610502199305240449</t>
  </si>
  <si>
    <t>13839866979</t>
  </si>
  <si>
    <t>A1033</t>
  </si>
  <si>
    <t>马钰朝</t>
  </si>
  <si>
    <t>410183198903020037</t>
  </si>
  <si>
    <t>河南省荥阳市京城办安乐坊3号楼051号</t>
  </si>
  <si>
    <t>A1037</t>
  </si>
  <si>
    <t>牛丽华</t>
  </si>
  <si>
    <t>410105198410270223</t>
  </si>
  <si>
    <t>郑州市金水区大埔村128号</t>
  </si>
  <si>
    <t>****/11/5</t>
  </si>
  <si>
    <t>收据日期不清晰</t>
  </si>
  <si>
    <t>A1039-1</t>
  </si>
  <si>
    <t>江发林    李媛媛</t>
  </si>
  <si>
    <t>340823198309010411</t>
  </si>
  <si>
    <t>A1039-2</t>
  </si>
  <si>
    <t>江发林</t>
  </si>
  <si>
    <t>没有申报80元登记费，也没有80元的收据，按销控表数据认定</t>
  </si>
  <si>
    <t>A1040-1</t>
  </si>
  <si>
    <t>楚艳玲</t>
  </si>
  <si>
    <t>410112197002084420</t>
  </si>
  <si>
    <t>13937120915</t>
  </si>
  <si>
    <t>A1040-2</t>
  </si>
  <si>
    <t>A1041</t>
  </si>
  <si>
    <t>张晓娟</t>
  </si>
  <si>
    <t>13298144588</t>
  </si>
  <si>
    <t>房地产收据2020年换成恒祥实业后收据金额少500元</t>
  </si>
  <si>
    <t>A1042</t>
  </si>
  <si>
    <t>刘璐</t>
  </si>
  <si>
    <t>410105199512120108</t>
  </si>
  <si>
    <t>A1043</t>
  </si>
  <si>
    <t>杨帅</t>
  </si>
  <si>
    <t>411328199302053994</t>
  </si>
  <si>
    <t>A1044</t>
  </si>
  <si>
    <t>董成林</t>
  </si>
  <si>
    <t>410502196309052532</t>
  </si>
  <si>
    <t>河南省安阳市文峰区相州路213号院7号楼3单元303室</t>
  </si>
  <si>
    <t>A1046</t>
  </si>
  <si>
    <t>李文渊</t>
  </si>
  <si>
    <t>412722199110100826</t>
  </si>
  <si>
    <t>A1047</t>
  </si>
  <si>
    <t>李晓岚</t>
  </si>
  <si>
    <t>410811197905055067</t>
  </si>
  <si>
    <t>13526197799、18637280519</t>
  </si>
  <si>
    <t>河南省安阳市龙安区文明大道447号院4号楼3单元8号</t>
  </si>
  <si>
    <t>A1048</t>
  </si>
  <si>
    <t>千运蕊</t>
  </si>
  <si>
    <t>410402197608211520</t>
  </si>
  <si>
    <t>15993563666/13526662289</t>
  </si>
  <si>
    <t>A1050-1</t>
  </si>
  <si>
    <t>朱士杰</t>
  </si>
  <si>
    <t>410104196909101538</t>
  </si>
  <si>
    <t>A1050-2</t>
  </si>
  <si>
    <t>A1053</t>
  </si>
  <si>
    <t>靳旗陈雪萍</t>
  </si>
  <si>
    <t>412724198303192956</t>
  </si>
  <si>
    <t>13938523227/17838326326</t>
  </si>
  <si>
    <t>A1054</t>
  </si>
  <si>
    <t>李俊丽</t>
  </si>
  <si>
    <t>412721197611173841</t>
  </si>
  <si>
    <t>A1055</t>
  </si>
  <si>
    <t>孟哲</t>
  </si>
  <si>
    <t>41010519960423011X</t>
  </si>
  <si>
    <t>A1058</t>
  </si>
  <si>
    <t>秦辛</t>
  </si>
  <si>
    <t>411303199607140522</t>
  </si>
  <si>
    <t>17516398627</t>
  </si>
  <si>
    <t>仅提供维修基金和登记费收据，需补充房款收据、发票、合同、付款银行流水等材料</t>
  </si>
  <si>
    <t>A1059</t>
  </si>
  <si>
    <t>王小利</t>
  </si>
  <si>
    <t>410203197205162045</t>
  </si>
  <si>
    <t>13838006595</t>
  </si>
  <si>
    <t>着急网签</t>
  </si>
  <si>
    <t>销控表原房款600968元，王小利附房款收据601663元</t>
  </si>
  <si>
    <t>A1060</t>
  </si>
  <si>
    <t>申保安</t>
  </si>
  <si>
    <t>410511198611101257</t>
  </si>
  <si>
    <t>13838381885/13938680059</t>
  </si>
  <si>
    <t>A1062</t>
  </si>
  <si>
    <t>王育硕</t>
  </si>
  <si>
    <t>410381199005040514</t>
  </si>
  <si>
    <t>18637929050、18237191736</t>
  </si>
  <si>
    <t>A1063</t>
  </si>
  <si>
    <t>王芸</t>
  </si>
  <si>
    <t>41050419760714052X</t>
  </si>
  <si>
    <t>A1064</t>
  </si>
  <si>
    <t>于海川</t>
  </si>
  <si>
    <t>410222199208283537</t>
  </si>
  <si>
    <t>15037109640、18039671826</t>
  </si>
  <si>
    <t>A1068</t>
  </si>
  <si>
    <t>王雪莹</t>
  </si>
  <si>
    <t>410105198601140069</t>
  </si>
  <si>
    <t>15038263155/18736088855</t>
  </si>
  <si>
    <t>A1069</t>
  </si>
  <si>
    <t>陈光英</t>
  </si>
  <si>
    <t>413027197702282745</t>
  </si>
  <si>
    <t>A1070</t>
  </si>
  <si>
    <t>杜威</t>
  </si>
  <si>
    <t>410105199605160213</t>
  </si>
  <si>
    <t>15038243182/13503991250</t>
  </si>
  <si>
    <t>15515860586</t>
  </si>
  <si>
    <t>销售明细表登记费550元，账面无记录，登记费550元需补充收据</t>
  </si>
  <si>
    <t>A1071</t>
  </si>
  <si>
    <t>朱超凡</t>
  </si>
  <si>
    <t>410222199511230016</t>
  </si>
  <si>
    <t>18237895876/13903781587/15003780088</t>
  </si>
  <si>
    <t>河南省通许县城关镇鲁班胡同30号</t>
  </si>
  <si>
    <t>配套费30000元无收据无流水</t>
  </si>
  <si>
    <t>A1072</t>
  </si>
  <si>
    <t>高歌</t>
  </si>
  <si>
    <t>410105196608311626</t>
  </si>
  <si>
    <t>15503717811</t>
  </si>
  <si>
    <t>A1073</t>
  </si>
  <si>
    <t>杜虎</t>
  </si>
  <si>
    <t>412702199201207818</t>
  </si>
  <si>
    <t>****/5/12</t>
  </si>
  <si>
    <t>A1074</t>
  </si>
  <si>
    <t>付娟</t>
  </si>
  <si>
    <t>411503197810130022</t>
  </si>
  <si>
    <t>13937600059</t>
  </si>
  <si>
    <t>A1075</t>
  </si>
  <si>
    <t>荆涛</t>
  </si>
  <si>
    <t>410103197509191317</t>
  </si>
  <si>
    <t>恒祥实业627264元；东垚房地产47500元</t>
  </si>
  <si>
    <t>2017年房地产收据744764元在2020年换成恒祥实业收据744500元，附银行转账记录744764元，恒祥账套登记744500元。荆涛在申报登记表上填写申报总金额744764元</t>
  </si>
  <si>
    <t>A1076</t>
  </si>
  <si>
    <t>李素芳</t>
  </si>
  <si>
    <t>410103198211183749</t>
  </si>
  <si>
    <t>电子版资料中没有债权申报登记表等表格资料</t>
  </si>
  <si>
    <t>A1077-1</t>
  </si>
  <si>
    <t>刘燕</t>
  </si>
  <si>
    <t>410104197504190020</t>
  </si>
  <si>
    <t>13803866681</t>
  </si>
  <si>
    <t>A1077-2</t>
  </si>
  <si>
    <t>A1077-3</t>
  </si>
  <si>
    <t>A1079</t>
  </si>
  <si>
    <t>孙淑玉</t>
  </si>
  <si>
    <t>410103196010033745</t>
  </si>
  <si>
    <t>A1083</t>
  </si>
  <si>
    <t>文付军</t>
  </si>
  <si>
    <t>410223197903017510</t>
  </si>
  <si>
    <t>A1084</t>
  </si>
  <si>
    <t>杨利霞</t>
  </si>
  <si>
    <t>410381196506252562</t>
  </si>
  <si>
    <t>未付债权申报登记表等表格</t>
  </si>
  <si>
    <t>A1085</t>
  </si>
  <si>
    <t>杨青</t>
  </si>
  <si>
    <t>410103196705092469</t>
  </si>
  <si>
    <t>13903711068</t>
  </si>
  <si>
    <t xml:space="preserve">该房产由马慧艳更名而来，收据注明杨青转马慧艳37.56万（3#-5-1335户），后附转账回执37.55万元，2020-1-47#马慧艳更名杨青161231.7元；杨青共申报房款697814元，其中375500元凭证为恒祥员工马慧艳手写收据，账套上没有查到该笔款项，账套摘要写：马慧艳更名杨青，需补充资料
</t>
  </si>
  <si>
    <t>A1086</t>
  </si>
  <si>
    <t>张蓝井</t>
  </si>
  <si>
    <t>410103199406100020</t>
  </si>
  <si>
    <t>13633857068/13623821593</t>
  </si>
  <si>
    <t>A1088</t>
  </si>
  <si>
    <t>郭琦</t>
  </si>
  <si>
    <t>372901197212301044</t>
  </si>
  <si>
    <t>A1089</t>
  </si>
  <si>
    <t>魏巍</t>
  </si>
  <si>
    <t>410103198108223220</t>
  </si>
  <si>
    <t>18538228890</t>
  </si>
  <si>
    <t>A1090</t>
  </si>
  <si>
    <t>杨超、王睿</t>
  </si>
  <si>
    <t>410522197511215892、410503197611072543</t>
  </si>
  <si>
    <t>河南省安阳市殷都区铁西路80号院1号楼3单元12号</t>
  </si>
  <si>
    <t>差异2295元中1259元为印花税和公证费等，剩余1036元未写明款项性质，需明确性质补充资料</t>
  </si>
  <si>
    <t>A1091</t>
  </si>
  <si>
    <t>刘洋</t>
  </si>
  <si>
    <t>410104198910250046</t>
  </si>
  <si>
    <t>A1092</t>
  </si>
  <si>
    <t>李苒（更田冬莲）</t>
  </si>
  <si>
    <t>410104198909140026</t>
  </si>
  <si>
    <t>购房信息栏仅填登记费550元，没有任何凭证，需重新填写表格并补充资料</t>
  </si>
  <si>
    <t>A1095</t>
  </si>
  <si>
    <t>巴伟光</t>
  </si>
  <si>
    <t>410103198310271314</t>
  </si>
  <si>
    <t>A1097</t>
  </si>
  <si>
    <t>陈卫丽</t>
  </si>
  <si>
    <t>410225198209131548</t>
  </si>
  <si>
    <t>河南省登封市阳城工业区付家门10号</t>
  </si>
  <si>
    <t>2017年房地产收据2020年换成恒祥实业</t>
  </si>
  <si>
    <t>A1099</t>
  </si>
  <si>
    <t>赵雅娴</t>
  </si>
  <si>
    <t>410503198709275001</t>
  </si>
  <si>
    <t>13603712766</t>
  </si>
  <si>
    <t>郑州市金水区鑫苑路26号院12号楼6号</t>
  </si>
  <si>
    <t>A1100</t>
  </si>
  <si>
    <t>靳荣</t>
  </si>
  <si>
    <t>410803197312080021</t>
  </si>
  <si>
    <t>A1101</t>
  </si>
  <si>
    <t>范春花</t>
  </si>
  <si>
    <t>410102196602032045</t>
  </si>
  <si>
    <t>没有数据，需重新填写表格及补充相关资料</t>
  </si>
  <si>
    <t>A1103</t>
  </si>
  <si>
    <t>马莉媛</t>
  </si>
  <si>
    <t>410183199012120063</t>
  </si>
  <si>
    <t>13607677932</t>
  </si>
  <si>
    <t>2016年恒祥238725元2018年换成房地产</t>
  </si>
  <si>
    <t>A1109</t>
  </si>
  <si>
    <t>王芳</t>
  </si>
  <si>
    <t>413001197504010024</t>
  </si>
  <si>
    <t>A1110</t>
  </si>
  <si>
    <t>王均华 魏鹏</t>
  </si>
  <si>
    <t>41292219720613298X
411322199901102956</t>
  </si>
  <si>
    <t>18437788658/13633842279</t>
  </si>
  <si>
    <t>A1112</t>
  </si>
  <si>
    <t>薛相涛</t>
  </si>
  <si>
    <t>411403197809205714</t>
  </si>
  <si>
    <t>薛相涛申报总金额填写638542元，没有申报需退的698元，查恒祥账套数据698元未退</t>
  </si>
  <si>
    <t>A1113</t>
  </si>
  <si>
    <t>姜楠</t>
  </si>
  <si>
    <t>413028196809227211</t>
  </si>
  <si>
    <t>A1114</t>
  </si>
  <si>
    <t>张启堡</t>
  </si>
  <si>
    <t>350102198403201937</t>
  </si>
  <si>
    <t>18055550591/19919950508</t>
  </si>
  <si>
    <t>2018年恒祥房地产开具收据：代开费3万元，需确定该项业务性质</t>
  </si>
  <si>
    <t>A1115</t>
  </si>
  <si>
    <t>赵蕾蕾</t>
  </si>
  <si>
    <t>410102199911070049</t>
  </si>
  <si>
    <t>18695863301</t>
  </si>
  <si>
    <t>附一张5000的小票，商家名称不是恒祥，未算到核定金额里</t>
  </si>
  <si>
    <t>A1117</t>
  </si>
  <si>
    <t>宋三梅</t>
  </si>
  <si>
    <t>410105197901262880</t>
  </si>
  <si>
    <t>微信聊天记录截屏，待补充资料</t>
  </si>
  <si>
    <t>A1118</t>
  </si>
  <si>
    <t>刘炜</t>
  </si>
  <si>
    <t>410503198106241531</t>
  </si>
  <si>
    <t>2021.6.10刘炜转给杨紫琰216240元，备注刘炜房款，该款项是否跟恒祥实业相关</t>
  </si>
  <si>
    <t>A1119</t>
  </si>
  <si>
    <t>白玉彩</t>
  </si>
  <si>
    <t>410126198001062126</t>
  </si>
  <si>
    <t>17703712505/13783619076</t>
  </si>
  <si>
    <t>A1120</t>
  </si>
  <si>
    <t>常建军</t>
  </si>
  <si>
    <t>410104196608160032</t>
  </si>
  <si>
    <t>13703922936/13653819226</t>
  </si>
  <si>
    <t>A1121</t>
  </si>
  <si>
    <t>崔文卓</t>
  </si>
  <si>
    <t>41072819891028002X</t>
  </si>
  <si>
    <t>15603811113/17698089036</t>
  </si>
  <si>
    <t>河南省长垣县蒲东区南街粮店家属院</t>
  </si>
  <si>
    <t>A1122</t>
  </si>
  <si>
    <t>代钦润</t>
  </si>
  <si>
    <t>412821199802270016</t>
  </si>
  <si>
    <t>13083607937、13939686972</t>
  </si>
  <si>
    <t>河南省确山县盘龙镇北关旗杆巷一胡同18号</t>
  </si>
  <si>
    <t>销售明细表中首付60万，按揭1342909元，截止2018.10.30日已付款共计60万，2018.12.24恒祥房地产开具收据，代收代钦润3万元，该3万款项性质为何，是否房款？</t>
  </si>
  <si>
    <t>A1123</t>
  </si>
  <si>
    <t>杜良卿</t>
  </si>
  <si>
    <t>410422198708153954</t>
  </si>
  <si>
    <t>13938468955
15038115177</t>
  </si>
  <si>
    <t>河南省叶县保安镇陈岗村二组</t>
  </si>
  <si>
    <t>A1124</t>
  </si>
  <si>
    <t>法永喜</t>
  </si>
  <si>
    <t>410121194410016550</t>
  </si>
  <si>
    <t>13333816699、13838380969</t>
  </si>
  <si>
    <t>A1125</t>
  </si>
  <si>
    <t>付似凤</t>
  </si>
  <si>
    <t>411502199610288047</t>
  </si>
  <si>
    <t>A1126</t>
  </si>
  <si>
    <t>付月     范伟哲</t>
  </si>
  <si>
    <t>411502199006128020</t>
  </si>
  <si>
    <t>15137102253/18236965220</t>
  </si>
  <si>
    <t>A1129</t>
  </si>
  <si>
    <t>韩小萍</t>
  </si>
  <si>
    <t>410928196612249667</t>
  </si>
  <si>
    <t>13949059950/19837111679</t>
  </si>
  <si>
    <t>未提供任何证据资料</t>
  </si>
  <si>
    <t>A1131</t>
  </si>
  <si>
    <t>李淑红</t>
  </si>
  <si>
    <t>410184197611181826</t>
  </si>
  <si>
    <t>A1132</t>
  </si>
  <si>
    <t>林艳芳</t>
  </si>
  <si>
    <t>412323197407150061</t>
  </si>
  <si>
    <t>15939050994</t>
  </si>
  <si>
    <t>A1133</t>
  </si>
  <si>
    <t>刘少杰</t>
  </si>
  <si>
    <t>410502198902023512</t>
  </si>
  <si>
    <t>A1134</t>
  </si>
  <si>
    <t>马振宇</t>
  </si>
  <si>
    <t>410901198111024514</t>
  </si>
  <si>
    <t>补充提供登记费550元收据</t>
  </si>
  <si>
    <t>A1135</t>
  </si>
  <si>
    <t>卢志勇</t>
  </si>
  <si>
    <t>410121197811061532</t>
  </si>
  <si>
    <t>A1137</t>
  </si>
  <si>
    <t>王秋颖</t>
  </si>
  <si>
    <t>41012619781026601x</t>
  </si>
  <si>
    <t>郑州市金水区经五路15号院附19号院2号楼40号</t>
  </si>
  <si>
    <t>A1139</t>
  </si>
  <si>
    <t>王阳</t>
  </si>
  <si>
    <t>410105198210110524</t>
  </si>
  <si>
    <t>A1140</t>
  </si>
  <si>
    <t>410503197401271042</t>
  </si>
  <si>
    <t>A1142</t>
  </si>
  <si>
    <t>张力生</t>
  </si>
  <si>
    <t>411102199411240014</t>
  </si>
  <si>
    <t>15537835178、15639331556</t>
  </si>
  <si>
    <t>A1145</t>
  </si>
  <si>
    <t>赵真</t>
  </si>
  <si>
    <t>411102198212115662</t>
  </si>
  <si>
    <t>A1148</t>
  </si>
  <si>
    <t>魏晓兰</t>
  </si>
  <si>
    <t>412702197002168167</t>
  </si>
  <si>
    <t>A1149</t>
  </si>
  <si>
    <t>赵琴</t>
  </si>
  <si>
    <t>410323198110230143</t>
  </si>
  <si>
    <t>13838370432、13676990625</t>
  </si>
  <si>
    <t>A1150</t>
  </si>
  <si>
    <t>代红旗</t>
  </si>
  <si>
    <t>412723196512070036</t>
  </si>
  <si>
    <t>A1152</t>
  </si>
  <si>
    <t>周浩</t>
  </si>
  <si>
    <t>413024197806112629</t>
  </si>
  <si>
    <t>未申报按揭款30万</t>
  </si>
  <si>
    <t>A1153</t>
  </si>
  <si>
    <t>何永胜</t>
  </si>
  <si>
    <t>440924197409155010</t>
  </si>
  <si>
    <t>A1154</t>
  </si>
  <si>
    <t>黄敏</t>
  </si>
  <si>
    <t>412829197209070023</t>
  </si>
  <si>
    <t>河南省正阳县真阳镇袁楼路114号</t>
  </si>
  <si>
    <t>A1156</t>
  </si>
  <si>
    <t>李晓伟</t>
  </si>
  <si>
    <t>412728198204260015</t>
  </si>
  <si>
    <t>18968054628、18606718873 15039057877</t>
  </si>
  <si>
    <t>A1157</t>
  </si>
  <si>
    <t>刘聪</t>
  </si>
  <si>
    <t>411302199202080852</t>
  </si>
  <si>
    <t>13503904861/18703808673</t>
  </si>
  <si>
    <t>A1159</t>
  </si>
  <si>
    <t>411302198402060819</t>
  </si>
  <si>
    <t>13503904861</t>
  </si>
  <si>
    <t>A1163</t>
  </si>
  <si>
    <t>张铁建</t>
  </si>
  <si>
    <t>410182198402100016</t>
  </si>
  <si>
    <t>15838217951/13523519385</t>
  </si>
  <si>
    <t>内部团购房源预约保留协议书上房间号为9-2010，面积103.9，房款为896200，收据注明为订金，销售明细表9-2010房间为拆迁预留，</t>
  </si>
  <si>
    <t>A1164</t>
  </si>
  <si>
    <t>冯彦芳</t>
  </si>
  <si>
    <t>410108197208171525</t>
  </si>
  <si>
    <t>18903712839</t>
  </si>
  <si>
    <t>A1165</t>
  </si>
  <si>
    <t>韩乐中</t>
  </si>
  <si>
    <t>410502195407151038</t>
  </si>
  <si>
    <t>13303729966</t>
  </si>
  <si>
    <t>A1166-1</t>
  </si>
  <si>
    <t>石东亚</t>
  </si>
  <si>
    <t>410103198311250312</t>
  </si>
  <si>
    <t>仅提供合同，需补充提供房款收据、维修基金和登记费收据、发票、银行付款回单等材料</t>
  </si>
  <si>
    <t>A1166-2</t>
  </si>
  <si>
    <t>A1167</t>
  </si>
  <si>
    <t>李胜超</t>
  </si>
  <si>
    <t>410329198311305058</t>
  </si>
  <si>
    <t>18538033897、15937151522</t>
  </si>
  <si>
    <t>内部团购房源预约保留协议书上房间号为11-2211，面积147.3，房款为1661760，收据注明为订金，销售明细表11-2211房间为拆迁预留</t>
  </si>
  <si>
    <t>A1168</t>
  </si>
  <si>
    <t>王太生</t>
  </si>
  <si>
    <t>410104196405062010</t>
  </si>
  <si>
    <t>13598893027/17737307559</t>
  </si>
  <si>
    <t>需补充产权登记费550元收据</t>
  </si>
  <si>
    <t>A1169-1</t>
  </si>
  <si>
    <t>朱秋月</t>
  </si>
  <si>
    <t>410221197409240845</t>
  </si>
  <si>
    <t>A1169-2</t>
  </si>
  <si>
    <t>A1171</t>
  </si>
  <si>
    <t>董超杰</t>
  </si>
  <si>
    <t>412728198212040039</t>
  </si>
  <si>
    <t>13014672512/13014588821</t>
  </si>
  <si>
    <t>A1174</t>
  </si>
  <si>
    <t>刘维菊</t>
  </si>
  <si>
    <t>411223197409244081</t>
  </si>
  <si>
    <t>15981920226
15333803877</t>
  </si>
  <si>
    <t>A1175</t>
  </si>
  <si>
    <t>王高林</t>
  </si>
  <si>
    <t>410102194105123051</t>
  </si>
  <si>
    <t>郑州市中原区伏牛路222号楼3号院8号</t>
  </si>
  <si>
    <t>A1176</t>
  </si>
  <si>
    <t>慕军</t>
  </si>
  <si>
    <t>41012619541105001X</t>
  </si>
  <si>
    <t>13838220981  15938725139</t>
  </si>
  <si>
    <t>A1177</t>
  </si>
  <si>
    <t>张莉</t>
  </si>
  <si>
    <t>412721199002173829</t>
  </si>
  <si>
    <t>13592229929</t>
  </si>
  <si>
    <t>A1179</t>
  </si>
  <si>
    <t>张俊娥</t>
  </si>
  <si>
    <t>410105197402130023</t>
  </si>
  <si>
    <t>未提供任何证据资料，且数据不符</t>
  </si>
  <si>
    <t>A1180</t>
  </si>
  <si>
    <t>史珂</t>
  </si>
  <si>
    <t>410104199301020063</t>
  </si>
  <si>
    <t>18737120951、13838238233</t>
  </si>
  <si>
    <t>A1181</t>
  </si>
  <si>
    <t>闫雪兰</t>
  </si>
  <si>
    <t>411121195305015543</t>
  </si>
  <si>
    <t>A1183</t>
  </si>
  <si>
    <t>姜明伟</t>
  </si>
  <si>
    <t>411526199304150067</t>
  </si>
  <si>
    <t>郑州市金水区文化路66号院5号楼229号</t>
  </si>
  <si>
    <t>A1185</t>
  </si>
  <si>
    <t>王丹</t>
  </si>
  <si>
    <t>410223197903200040</t>
  </si>
  <si>
    <t>内部团购房源预约保留协议书上房间号为11-811，面积148.73，房款1310370，收据为订金，销售明细表上11-811为拆迁预留</t>
  </si>
  <si>
    <t>A1186</t>
  </si>
  <si>
    <t>王盼</t>
  </si>
  <si>
    <t>410102198807280786</t>
  </si>
  <si>
    <t>13607674963、13323822729、18738112868</t>
  </si>
  <si>
    <t>A1187</t>
  </si>
  <si>
    <t>海莎</t>
  </si>
  <si>
    <t>410105198302241628</t>
  </si>
  <si>
    <t>未申报按揭款65.8万</t>
  </si>
  <si>
    <t>A1188</t>
  </si>
  <si>
    <t>邢旭东</t>
  </si>
  <si>
    <t>410185197912060012</t>
  </si>
  <si>
    <t>13903831444</t>
  </si>
  <si>
    <t>A1191-1</t>
  </si>
  <si>
    <t>苏康欣</t>
  </si>
  <si>
    <t>410105200601160027</t>
  </si>
  <si>
    <t>13673976427/13838180288</t>
  </si>
  <si>
    <t>A1191-2</t>
  </si>
  <si>
    <t>A1196</t>
  </si>
  <si>
    <t>石冠军</t>
  </si>
  <si>
    <t>410104198708250077</t>
  </si>
  <si>
    <t>15038057088/15890618795</t>
  </si>
  <si>
    <t>A1200</t>
  </si>
  <si>
    <t>黄红坡</t>
  </si>
  <si>
    <t>411325197902030421</t>
  </si>
  <si>
    <t>A1201</t>
  </si>
  <si>
    <t>蒋钊</t>
  </si>
  <si>
    <t>410105193809242715</t>
  </si>
  <si>
    <t>15803839572</t>
  </si>
  <si>
    <t>未申报多交房款4000元</t>
  </si>
  <si>
    <t>A1204</t>
  </si>
  <si>
    <t>谢晓刚</t>
  </si>
  <si>
    <t>410105197909138438</t>
  </si>
  <si>
    <t>13838020091/13015513980</t>
  </si>
  <si>
    <t>A1210</t>
  </si>
  <si>
    <t>周沙</t>
  </si>
  <si>
    <t>410182198503020314</t>
  </si>
  <si>
    <t xml:space="preserve"> </t>
  </si>
  <si>
    <t>A1211-1</t>
  </si>
  <si>
    <t>朱秋萍</t>
  </si>
  <si>
    <t>410221197808010860</t>
  </si>
  <si>
    <t>A1211-2</t>
  </si>
  <si>
    <t>A1212</t>
  </si>
  <si>
    <t>朱登魁</t>
  </si>
  <si>
    <t>410221197607020819</t>
  </si>
  <si>
    <t>A1213</t>
  </si>
  <si>
    <t>朱之春</t>
  </si>
  <si>
    <t>410103199103210011</t>
  </si>
  <si>
    <t>A1215</t>
  </si>
  <si>
    <t>华明锐</t>
  </si>
  <si>
    <t>413022197402020565</t>
  </si>
  <si>
    <t>13937627650</t>
  </si>
  <si>
    <t>河南省淮滨县城关镇南大街144-62</t>
  </si>
  <si>
    <t>A1216</t>
  </si>
  <si>
    <t>陈华坤</t>
  </si>
  <si>
    <t>41010419811115455X</t>
  </si>
  <si>
    <t>13007517000、15290876876/13938555838</t>
  </si>
  <si>
    <t>A1217</t>
  </si>
  <si>
    <t>王囝囝</t>
  </si>
  <si>
    <t>412821198503074416</t>
  </si>
  <si>
    <t>18137899575/13783607709</t>
  </si>
  <si>
    <t>和解协议约定恒祥付截止2020.12.31的32500元违约金，王囝囝撤诉，账面显示2021.1.14恒祥已支付上述违约金，本次又申报了52859元违约金，21年-22年的？？？</t>
  </si>
  <si>
    <t>A1218</t>
  </si>
  <si>
    <t>赵梦辉</t>
  </si>
  <si>
    <t>410182198402170313</t>
  </si>
  <si>
    <t>A1220</t>
  </si>
  <si>
    <t>陈晓霞</t>
  </si>
  <si>
    <t>410105197203313329</t>
  </si>
  <si>
    <t>A1223</t>
  </si>
  <si>
    <t>潘耀宗</t>
  </si>
  <si>
    <t>410381198311227390</t>
  </si>
  <si>
    <t>内部团购房源预约保留协议书中房间号9-3109，面积100.4，房款1096569元，销售明细表中9-3109为拆迁预留，收据注明订金</t>
  </si>
  <si>
    <t>A1229</t>
  </si>
  <si>
    <t>吴佳康</t>
  </si>
  <si>
    <t>41052619980609907X</t>
  </si>
  <si>
    <t>15515002727</t>
  </si>
  <si>
    <t>河南省安阳市文峰区广顺街1号院12号楼1单元301号</t>
  </si>
  <si>
    <t>A1231</t>
  </si>
  <si>
    <t>蒋伟</t>
  </si>
  <si>
    <t>410126197504145711</t>
  </si>
  <si>
    <t>13592523276/18638584555</t>
  </si>
  <si>
    <t>A1234</t>
  </si>
  <si>
    <t>冯爽</t>
  </si>
  <si>
    <t>41010319840730002x</t>
  </si>
  <si>
    <t>13783684710、13526633404</t>
  </si>
  <si>
    <t>郑州市管城回族区城东南路39号院2号楼24号</t>
  </si>
  <si>
    <t>A1237</t>
  </si>
  <si>
    <t>贾艳琴</t>
  </si>
  <si>
    <t>410104195212151047</t>
  </si>
  <si>
    <t>13803848728  16638060657</t>
  </si>
  <si>
    <t>内部团购房源预约保留协议书中房间号10-1808，面积98.7，房款1362060元，销售明细表中10-1808尚未售出，收据房间号为10-1805</t>
  </si>
  <si>
    <t>A1253</t>
  </si>
  <si>
    <t>李广生</t>
  </si>
  <si>
    <t>410103195611112436</t>
  </si>
  <si>
    <t>15617917953/13623718977</t>
  </si>
  <si>
    <t>A1254</t>
  </si>
  <si>
    <t>马晓菲</t>
  </si>
  <si>
    <t>410481198410261047</t>
  </si>
  <si>
    <t>A1255</t>
  </si>
  <si>
    <t>孟琦</t>
  </si>
  <si>
    <t>410103198712160027</t>
  </si>
  <si>
    <t>预约保留协议书面积89.2，房款1338000元，收据注明预约保留金</t>
  </si>
  <si>
    <t>A1259</t>
  </si>
  <si>
    <t>贾清秀</t>
  </si>
  <si>
    <t>410711196601060043</t>
  </si>
  <si>
    <t>13939998896、13838291989</t>
  </si>
  <si>
    <t>A1261</t>
  </si>
  <si>
    <t>王莉</t>
  </si>
  <si>
    <t>410105197802061020</t>
  </si>
  <si>
    <t>内部团购房源预约保留协议书中房间号9号楼5单元2309，面积100，房款1104000元，销售明细表中9-2309为拆迁预留，收据注明订金（9-2309）</t>
  </si>
  <si>
    <t>A1262</t>
  </si>
  <si>
    <t>杨洋</t>
  </si>
  <si>
    <t>410105198512060067</t>
  </si>
  <si>
    <t>13703716218</t>
  </si>
  <si>
    <t>A1269</t>
  </si>
  <si>
    <t>李清荣</t>
  </si>
  <si>
    <t>410105197404064525</t>
  </si>
  <si>
    <t>A1270</t>
  </si>
  <si>
    <t>410105197605081620</t>
  </si>
  <si>
    <t>13663865599</t>
  </si>
  <si>
    <t>A1279</t>
  </si>
  <si>
    <t>杜海</t>
  </si>
  <si>
    <t>410102197801052019</t>
  </si>
  <si>
    <t>A1282</t>
  </si>
  <si>
    <t>张会娟</t>
  </si>
  <si>
    <t>41272419780304092x</t>
  </si>
  <si>
    <t>定金</t>
  </si>
  <si>
    <t>A1283</t>
  </si>
  <si>
    <t>张铎</t>
  </si>
  <si>
    <t>41010319910301001X</t>
  </si>
  <si>
    <t>18625557415、18537193657</t>
  </si>
  <si>
    <t>A1291-1</t>
  </si>
  <si>
    <t>唐鹏鹏</t>
  </si>
  <si>
    <t>411323199702115371</t>
  </si>
  <si>
    <t>18838988851</t>
  </si>
  <si>
    <t>A1291-2</t>
  </si>
  <si>
    <t>A1294</t>
  </si>
  <si>
    <t>张晓鹏/余媛媛</t>
  </si>
  <si>
    <t>410105198812090196</t>
  </si>
  <si>
    <t>A1299</t>
  </si>
  <si>
    <t>李勇</t>
  </si>
  <si>
    <t>410105197911256134</t>
  </si>
  <si>
    <t>A1300</t>
  </si>
  <si>
    <t>李琦</t>
  </si>
  <si>
    <t>410182199004150346</t>
  </si>
  <si>
    <t>A1302</t>
  </si>
  <si>
    <t>刘培培</t>
  </si>
  <si>
    <t>410425198904112024</t>
  </si>
  <si>
    <t>A1308</t>
  </si>
  <si>
    <t>刘园</t>
  </si>
  <si>
    <t>41108119920107904X</t>
  </si>
  <si>
    <t>A1315</t>
  </si>
  <si>
    <t>谭艳琴</t>
  </si>
  <si>
    <t>410104196212303025</t>
  </si>
  <si>
    <t>A1320</t>
  </si>
  <si>
    <t>董瑞丽</t>
  </si>
  <si>
    <t>410526196301010048</t>
  </si>
  <si>
    <t>销控表上无该户销售信息，个人卡流水账有董收款记录，但未登记金额（房地产收据）</t>
  </si>
  <si>
    <t>A1327</t>
  </si>
  <si>
    <t>陈军广</t>
  </si>
  <si>
    <t>412723198203212511</t>
  </si>
  <si>
    <t>未附凭证，按销控表数据认定，待补充资料</t>
  </si>
  <si>
    <t>A1332</t>
  </si>
  <si>
    <t>史佳佳</t>
  </si>
  <si>
    <t>410482199111120026</t>
  </si>
  <si>
    <t>A1338</t>
  </si>
  <si>
    <t>郑文娟</t>
  </si>
  <si>
    <t>412727198502050028</t>
  </si>
  <si>
    <t>未申报80元登记费，未提供收据</t>
  </si>
  <si>
    <t>A1339</t>
  </si>
  <si>
    <t>沈红萍</t>
  </si>
  <si>
    <t>41010419670309204X</t>
  </si>
  <si>
    <t>附合同，未附其他凭证，按销控表数据认定</t>
  </si>
  <si>
    <t>A1340</t>
  </si>
  <si>
    <t>董美娜</t>
  </si>
  <si>
    <t>410105198507290044</t>
  </si>
  <si>
    <t>A1341</t>
  </si>
  <si>
    <t>杜盼盼</t>
  </si>
  <si>
    <t>41270219900615794X</t>
  </si>
  <si>
    <t>13523578772/18137181267</t>
  </si>
  <si>
    <t>未附维修基金收据</t>
  </si>
  <si>
    <t>A1342</t>
  </si>
  <si>
    <t>杜蕊</t>
  </si>
  <si>
    <t>412702198701027827</t>
  </si>
  <si>
    <t>A1343</t>
  </si>
  <si>
    <t>魏威</t>
  </si>
  <si>
    <t>410105196610113338</t>
  </si>
  <si>
    <t>13783697888</t>
  </si>
  <si>
    <t>A1345</t>
  </si>
  <si>
    <t>付东</t>
  </si>
  <si>
    <t>410728197811097532</t>
  </si>
  <si>
    <t>A1347-1</t>
  </si>
  <si>
    <t>邓文英</t>
  </si>
  <si>
    <t>632221197111180029</t>
  </si>
  <si>
    <t>房款收据附391215元，未附其他收据</t>
  </si>
  <si>
    <t>A1347-2</t>
  </si>
  <si>
    <t>A1349</t>
  </si>
  <si>
    <t>王佳琦</t>
  </si>
  <si>
    <t>410305198203014025</t>
  </si>
  <si>
    <t>附25万元收据，在白国法个人卡找到10万元</t>
  </si>
  <si>
    <t>A1350-1</t>
  </si>
  <si>
    <t>李芬</t>
  </si>
  <si>
    <t>412323197004240062</t>
  </si>
  <si>
    <t>未附凭证，与销控表数据一致</t>
  </si>
  <si>
    <t>A1350-10</t>
  </si>
  <si>
    <t>A1350-2</t>
  </si>
  <si>
    <t>A1350-3</t>
  </si>
  <si>
    <t>A1350-4</t>
  </si>
  <si>
    <t>A1350-5</t>
  </si>
  <si>
    <t>A1350-6</t>
  </si>
  <si>
    <t>A1350-7</t>
  </si>
  <si>
    <t>A1350-8</t>
  </si>
  <si>
    <t>A1350-9</t>
  </si>
  <si>
    <t>A1355</t>
  </si>
  <si>
    <t>辛子星</t>
  </si>
  <si>
    <t>41270219930910743X</t>
  </si>
  <si>
    <t>18530045217/13103859097</t>
  </si>
  <si>
    <t>A1356</t>
  </si>
  <si>
    <t>邢志敏</t>
  </si>
  <si>
    <t>410526197206099085</t>
  </si>
  <si>
    <t>河南省滑县王庄镇董村1号</t>
  </si>
  <si>
    <t>销售明细表无此销售记录，恒祥白国法兴业银行账显示2020年12月20日6695#收邢志敏房款（吴新芳更名2073470元），财务账面显示其他应收款-吴新芳拉酒（恒祥房地产代支）2445034元，以房抵债未见抵债协议</t>
  </si>
  <si>
    <t>A1357</t>
  </si>
  <si>
    <t>毛忠彦</t>
  </si>
  <si>
    <t>410526196508205336</t>
  </si>
  <si>
    <t>河南省滑县高平镇东留寨村2号</t>
  </si>
  <si>
    <t>销售明细表无此销售记录，恒祥白国法兴业银行账显示2020年12月9日6693#收张振江，王曰，乔天泽，王月，毛忠彦，张蒙，董瑞丽，袁志伟，李新玲房款（吴新芳更名16660340元），财务账面显示其他应收款-吴新芳拉酒（恒祥房地产代支）2445034元，以房抵债未见抵债协议，</t>
  </si>
  <si>
    <t>A1358</t>
  </si>
  <si>
    <t>曾斌</t>
  </si>
  <si>
    <t>410102197908173013</t>
  </si>
  <si>
    <t>13838295597/15890104080</t>
  </si>
  <si>
    <t>A1362</t>
  </si>
  <si>
    <t>李新玲</t>
  </si>
  <si>
    <t>41050319640119154X</t>
  </si>
  <si>
    <t>A1367</t>
  </si>
  <si>
    <t>乔天泽</t>
  </si>
  <si>
    <t>410901200002071119</t>
  </si>
  <si>
    <t>销售明细表无此销售记录，恒祥白国法兴业银行账显示2020年12月9日6693#收张振江，王曰，乔天泽，王月，毛忠彦，张蒙，董瑞丽，袁志伟，李新玲房款（吴新芳更名16660340元），财务账面显示其他应收款-吴新芳拉酒（恒祥房地产代支）2445034元，仅提供律师见证书，需补充提供合同、收据等材料</t>
  </si>
  <si>
    <t>A1370</t>
  </si>
  <si>
    <t>王日</t>
  </si>
  <si>
    <t>410901199710250016</t>
  </si>
  <si>
    <t>A1374</t>
  </si>
  <si>
    <t>王月</t>
  </si>
  <si>
    <t>410901199710250024</t>
  </si>
  <si>
    <t>销售明细表无此销售记录，2020年12月9日6693#收张振江，王曰，乔天泽，王月，毛忠彦，张蒙，董瑞丽，袁志伟，李新玲房款（吴新芳更名16660340元），提供河南一壶春酒业有限公司2020年5月10日送货单，数量1766件，金额3242376元，客户安阳童总（童鑫），收货人吴新芳，以房抵债未见相关抵债协议，仅提供律师见证书，需补充提供收据等材料</t>
  </si>
  <si>
    <t>A1375</t>
  </si>
  <si>
    <t>吴新芳</t>
  </si>
  <si>
    <t>410526197402059099</t>
  </si>
  <si>
    <t>销售明细表无此销售记录，已提供房款收据与合同，提供河南一壶春酒业有限公司送货单，数量2730件，金额5012280元，收货人吴新芳，以房抵债未见相关抵债协议，3个车位仅有收据，未见合同，财务账面显示其他应收款-吴新芳拉酒（恒祥房地产代支）2445034元</t>
  </si>
  <si>
    <t>A1377</t>
  </si>
  <si>
    <t>袁志伟</t>
  </si>
  <si>
    <t>410928198802016038</t>
  </si>
  <si>
    <t>已提供收据与合同，销售明细表无此销售记录，2020年12月9日6693#收张振江，王曰，乔天泽，王月，毛忠彦，张蒙，董瑞丽，袁志伟，李新玲房款（吴新芳更名16660340元），提供河南一壶春酒业有限公司2020年5月10日送货单，数量1766件，金额3242376元，客户安阳童总（童鑫），收货人吴新芳，以房抵债未见相关抵债协议</t>
  </si>
  <si>
    <t>A1379</t>
  </si>
  <si>
    <t>安娜只</t>
  </si>
  <si>
    <t>41052219881005726X</t>
  </si>
  <si>
    <t>销售明细表无此销售记录，已提供房款收据与合同，提供河南一壶春酒业有限公司送货单，数量2730件，金额5012280元，收货人吴新芳，以房抵债未见相关抵债协议</t>
  </si>
  <si>
    <t>A1385</t>
  </si>
  <si>
    <t>郭久长</t>
  </si>
  <si>
    <t>41018119590928757X</t>
  </si>
  <si>
    <t>13838583138/15738395599、15516155188</t>
  </si>
  <si>
    <t>A1391</t>
  </si>
  <si>
    <t>师振旗</t>
  </si>
  <si>
    <t>41040319560927351X</t>
  </si>
  <si>
    <t>A1392</t>
  </si>
  <si>
    <t>杨莎</t>
  </si>
  <si>
    <t>411222198704261528</t>
  </si>
  <si>
    <t>13901130567</t>
  </si>
  <si>
    <t>A1393</t>
  </si>
  <si>
    <t>于振华</t>
  </si>
  <si>
    <t>412823196812300425</t>
  </si>
  <si>
    <t>A1394-1</t>
  </si>
  <si>
    <t>何阳</t>
  </si>
  <si>
    <t>41050219830619303X</t>
  </si>
  <si>
    <t>13603726619、18004074393/15617995717</t>
  </si>
  <si>
    <t>A1394-2</t>
  </si>
  <si>
    <t>15518858930
13783891999 15617995717</t>
  </si>
  <si>
    <t>A1395</t>
  </si>
  <si>
    <t>张艳丽</t>
  </si>
  <si>
    <t>412701197612264045</t>
  </si>
  <si>
    <t>13663047771/17633576441</t>
  </si>
  <si>
    <t>A1396</t>
  </si>
  <si>
    <t>潘峰</t>
  </si>
  <si>
    <t>410105197501021615</t>
  </si>
  <si>
    <t>13526896373</t>
  </si>
  <si>
    <t>A1398</t>
  </si>
  <si>
    <t>李丹</t>
  </si>
  <si>
    <t>410105198208250528</t>
  </si>
  <si>
    <t>A1401</t>
  </si>
  <si>
    <t>李高攀</t>
  </si>
  <si>
    <t>410825198004050018</t>
  </si>
  <si>
    <t>18860357310、17737177283</t>
  </si>
  <si>
    <t>A1403</t>
  </si>
  <si>
    <t>李兰英</t>
  </si>
  <si>
    <t>411602196506150525</t>
  </si>
  <si>
    <t>A1405</t>
  </si>
  <si>
    <t>刘会杰</t>
  </si>
  <si>
    <t>412825198102156125</t>
  </si>
  <si>
    <t>A1408</t>
  </si>
  <si>
    <t>岳玫合</t>
  </si>
  <si>
    <t>410106198709131515</t>
  </si>
  <si>
    <t>A1409</t>
  </si>
  <si>
    <t>朱永芳</t>
  </si>
  <si>
    <t>410105197808180528</t>
  </si>
  <si>
    <t>15838093777/13838365111</t>
  </si>
  <si>
    <t>A1410</t>
  </si>
  <si>
    <t>刘晓龙</t>
  </si>
  <si>
    <t>410621198807124010</t>
  </si>
  <si>
    <t>13949037207/15937103360</t>
  </si>
  <si>
    <t>A1414</t>
  </si>
  <si>
    <t>黄德森</t>
  </si>
  <si>
    <t>330327198812144157</t>
  </si>
  <si>
    <t>18638209037、17752538951</t>
  </si>
  <si>
    <t>A1422</t>
  </si>
  <si>
    <t>路明</t>
  </si>
  <si>
    <t>410504197711160547</t>
  </si>
  <si>
    <t>A1425</t>
  </si>
  <si>
    <t>孙芮芳</t>
  </si>
  <si>
    <t>411082199208091240</t>
  </si>
  <si>
    <t>18530801315
13938770369</t>
  </si>
  <si>
    <t>A1426</t>
  </si>
  <si>
    <t>王贵富</t>
  </si>
  <si>
    <t>410523197110160014</t>
  </si>
  <si>
    <t xml:space="preserve">                                                                                                                                                                                                                                                                                                                                                                                                                                                                                                                                                                                                                                                                                                                                                                                                                                                                                                                                                                                                                                                                                                                                                                                                                                                                                                                                                                                                                                                                                                                                                                                                                                                                                                                                                                                                                                                                                                                                                                                                                                                                                                                                                                                       </t>
  </si>
  <si>
    <t>A1428</t>
  </si>
  <si>
    <t>齐超</t>
  </si>
  <si>
    <t>412827196511100070</t>
  </si>
  <si>
    <t>A1430</t>
  </si>
  <si>
    <t>刘佳林</t>
  </si>
  <si>
    <t>410823197211170031</t>
  </si>
  <si>
    <t>A1431</t>
  </si>
  <si>
    <t>程金娥</t>
  </si>
  <si>
    <t>410823197305220028</t>
  </si>
  <si>
    <t>18838163876/15139186866</t>
  </si>
  <si>
    <t>A1435</t>
  </si>
  <si>
    <t>刘兴明</t>
  </si>
  <si>
    <t>410403195212162512</t>
  </si>
  <si>
    <t>A1442</t>
  </si>
  <si>
    <t>付振伟</t>
  </si>
  <si>
    <t>410126197504093333</t>
  </si>
  <si>
    <t>15036061386/17839939222</t>
  </si>
  <si>
    <t>河南省新密市苟堂镇付寨村梁家沟33号</t>
  </si>
  <si>
    <t>A1443</t>
  </si>
  <si>
    <t>李涛红</t>
  </si>
  <si>
    <t>410126197601203346</t>
  </si>
  <si>
    <t>A1446</t>
  </si>
  <si>
    <t>惠瑞松</t>
  </si>
  <si>
    <t>412827197410125011</t>
  </si>
  <si>
    <t>13837208504 18537291595</t>
  </si>
  <si>
    <t>A1447</t>
  </si>
  <si>
    <t>陈华</t>
  </si>
  <si>
    <t>310110196503076217</t>
  </si>
  <si>
    <t>A1448</t>
  </si>
  <si>
    <t>秦晨煜</t>
  </si>
  <si>
    <t>412725197508170322</t>
  </si>
  <si>
    <t>A1456</t>
  </si>
  <si>
    <t>李瑞敏</t>
  </si>
  <si>
    <t>410123196809250041</t>
  </si>
  <si>
    <t>15038123680</t>
  </si>
  <si>
    <t>A1457</t>
  </si>
  <si>
    <t>梁风枝/赵梁</t>
  </si>
  <si>
    <t>411329196008110102</t>
  </si>
  <si>
    <t>A1460</t>
  </si>
  <si>
    <t>韩卓君</t>
  </si>
  <si>
    <t>41142419851001053X</t>
  </si>
  <si>
    <t>A1463-1</t>
  </si>
  <si>
    <t>楚秋玲</t>
  </si>
  <si>
    <t>411123196609177063</t>
  </si>
  <si>
    <t>18039512766 13203818107</t>
  </si>
  <si>
    <t>惠济区南阳路185号院2号楼1单元7号</t>
  </si>
  <si>
    <t>A1463-2</t>
  </si>
  <si>
    <t>A1467</t>
  </si>
  <si>
    <t>樊静雯</t>
  </si>
  <si>
    <t>410183200104023522</t>
  </si>
  <si>
    <t>13213103777、13526808688</t>
  </si>
  <si>
    <t>A1470</t>
  </si>
  <si>
    <t>钮会珍</t>
  </si>
  <si>
    <t>412726199210127562</t>
  </si>
  <si>
    <t>A1474</t>
  </si>
  <si>
    <t>李晶莹</t>
  </si>
  <si>
    <t>413001197203270025</t>
  </si>
  <si>
    <t>A1475</t>
  </si>
  <si>
    <t>杨新平</t>
  </si>
  <si>
    <t>412823196502167067</t>
  </si>
  <si>
    <t>15333830290</t>
  </si>
  <si>
    <t>A1476</t>
  </si>
  <si>
    <t>张垣</t>
  </si>
  <si>
    <t>410305198001080526</t>
  </si>
  <si>
    <t>13137155858    13323816166</t>
  </si>
  <si>
    <t>A1477</t>
  </si>
  <si>
    <t>姚瑞菁</t>
  </si>
  <si>
    <t>41302619880922034X</t>
  </si>
  <si>
    <t>北京市丰台区园博园6号门远通越洋大厦</t>
  </si>
  <si>
    <t>A1479</t>
  </si>
  <si>
    <t>睢超娜</t>
  </si>
  <si>
    <t>41022319860923202X</t>
  </si>
  <si>
    <t>A1482</t>
  </si>
  <si>
    <t>邴武</t>
  </si>
  <si>
    <t>410105196811121051</t>
  </si>
  <si>
    <t>A1484</t>
  </si>
  <si>
    <t>刘扬</t>
  </si>
  <si>
    <t>41041119811204554X</t>
  </si>
  <si>
    <t>13015507292</t>
  </si>
  <si>
    <t>A1485</t>
  </si>
  <si>
    <t>王志刚</t>
  </si>
  <si>
    <t>410224198103281656</t>
  </si>
  <si>
    <t>13014514199</t>
  </si>
  <si>
    <t>A1488</t>
  </si>
  <si>
    <t>王喆</t>
  </si>
  <si>
    <t>412301197509291027</t>
  </si>
  <si>
    <t>18439938888</t>
  </si>
  <si>
    <t>A1489</t>
  </si>
  <si>
    <t>耿世杰</t>
  </si>
  <si>
    <t>41010419741106501X</t>
  </si>
  <si>
    <t>13803899383/13663842030</t>
  </si>
  <si>
    <t>A1490</t>
  </si>
  <si>
    <t>王素清</t>
  </si>
  <si>
    <t>410523196605060061</t>
  </si>
  <si>
    <t>A1492</t>
  </si>
  <si>
    <t>陈一菲</t>
  </si>
  <si>
    <t>410504199703240028</t>
  </si>
  <si>
    <t>A1496</t>
  </si>
  <si>
    <t>孟庆蕾</t>
  </si>
  <si>
    <t>410523197607200042</t>
  </si>
  <si>
    <t>15837266618/13938697680</t>
  </si>
  <si>
    <t>河南省汤阴县羑里路1号1号楼2单元401室</t>
  </si>
  <si>
    <t>A1497</t>
  </si>
  <si>
    <t>房俊琦</t>
  </si>
  <si>
    <t>412701197911144043</t>
  </si>
  <si>
    <t>A1498-1</t>
  </si>
  <si>
    <t>侯旭辉</t>
  </si>
  <si>
    <t>410105197605202728</t>
  </si>
  <si>
    <t>A1498-2</t>
  </si>
  <si>
    <t>A1499</t>
  </si>
  <si>
    <t>刘思竹</t>
  </si>
  <si>
    <t>413026199411143369</t>
  </si>
  <si>
    <t>18530054129</t>
  </si>
  <si>
    <t>A1504</t>
  </si>
  <si>
    <t>韩畅</t>
  </si>
  <si>
    <t>410105199009300021</t>
  </si>
  <si>
    <t>A1505</t>
  </si>
  <si>
    <t>李勇燕</t>
  </si>
  <si>
    <t>412722195108284525</t>
  </si>
  <si>
    <t>15939032336</t>
  </si>
  <si>
    <t>A1507</t>
  </si>
  <si>
    <t>夏爽</t>
  </si>
  <si>
    <t>412928197605234420</t>
  </si>
  <si>
    <t>13783719676</t>
  </si>
  <si>
    <t>A1508</t>
  </si>
  <si>
    <t>王鹏飞</t>
  </si>
  <si>
    <t>410426199305248012</t>
  </si>
  <si>
    <t>13838385517</t>
  </si>
  <si>
    <t>A1512</t>
  </si>
  <si>
    <t>李龙宝/李丹丹</t>
  </si>
  <si>
    <t>410928198704036617/410526199306183822</t>
  </si>
  <si>
    <t>A1517</t>
  </si>
  <si>
    <t>连合明</t>
  </si>
  <si>
    <t>410108198005130015</t>
  </si>
  <si>
    <t>13703939137</t>
  </si>
  <si>
    <t>A1518</t>
  </si>
  <si>
    <t>连艳丽</t>
  </si>
  <si>
    <t>410108197503222524</t>
  </si>
  <si>
    <t>A1519</t>
  </si>
  <si>
    <t>连艳萍</t>
  </si>
  <si>
    <t>410183197802071527</t>
  </si>
  <si>
    <t>13526859312</t>
  </si>
  <si>
    <t>A1520</t>
  </si>
  <si>
    <t>王静娜</t>
  </si>
  <si>
    <t>410526198811148222</t>
  </si>
  <si>
    <t>18530709650/17703732381</t>
  </si>
  <si>
    <t>A1521</t>
  </si>
  <si>
    <t>刘栋</t>
  </si>
  <si>
    <t>411421199605016438</t>
  </si>
  <si>
    <t>A1522</t>
  </si>
  <si>
    <t>411421199712086431</t>
  </si>
  <si>
    <t>15538312371 15138966255</t>
  </si>
  <si>
    <t>A1523-1</t>
  </si>
  <si>
    <t>杨建萍    张祺</t>
  </si>
  <si>
    <t>410104197102021563</t>
  </si>
  <si>
    <t>A1523-2</t>
  </si>
  <si>
    <t>A1523-3</t>
  </si>
  <si>
    <t>A1523-4</t>
  </si>
  <si>
    <t>A1523-5</t>
  </si>
  <si>
    <t>A1523-6</t>
  </si>
  <si>
    <t>A1526</t>
  </si>
  <si>
    <t>郭大鹏</t>
  </si>
  <si>
    <t>411527198504020533</t>
  </si>
  <si>
    <t>15638138262/13613711682</t>
  </si>
  <si>
    <t>A1529</t>
  </si>
  <si>
    <t>韩梅梅</t>
  </si>
  <si>
    <t>410322198806166825</t>
  </si>
  <si>
    <t>申报金额不含按揭回款额，是否回款？</t>
  </si>
  <si>
    <t>A1533</t>
  </si>
  <si>
    <t>杨艳会</t>
  </si>
  <si>
    <t>410523198610085043</t>
  </si>
  <si>
    <t>13333714950/18539921330</t>
  </si>
  <si>
    <t>A1535-1</t>
  </si>
  <si>
    <t>钟金凤</t>
  </si>
  <si>
    <t>412821197810251561</t>
  </si>
  <si>
    <t>18838528226</t>
  </si>
  <si>
    <t>A1535-2</t>
  </si>
  <si>
    <t>18838528226 13461401688</t>
  </si>
  <si>
    <t>A1537</t>
  </si>
  <si>
    <t>于云霞</t>
  </si>
  <si>
    <t>412823197103094424</t>
  </si>
  <si>
    <t>A1538</t>
  </si>
  <si>
    <t>刘国红</t>
  </si>
  <si>
    <t>410521197704034047</t>
  </si>
  <si>
    <t>A1539</t>
  </si>
  <si>
    <t>段彬彬</t>
  </si>
  <si>
    <t>410303197212142582</t>
  </si>
  <si>
    <t>本人未申报按揭回款额，待核实</t>
  </si>
  <si>
    <t>A1542</t>
  </si>
  <si>
    <t>李瑞丽</t>
  </si>
  <si>
    <t>412701197209152035</t>
  </si>
  <si>
    <t>A1545</t>
  </si>
  <si>
    <t>张一一</t>
  </si>
  <si>
    <t>410324198509191728</t>
  </si>
  <si>
    <t>A1546</t>
  </si>
  <si>
    <t>孙燕</t>
  </si>
  <si>
    <t>440105195607303326</t>
  </si>
  <si>
    <t>13711135158</t>
  </si>
  <si>
    <t>A1548</t>
  </si>
  <si>
    <t>王梓涵</t>
  </si>
  <si>
    <t>410105199201210093</t>
  </si>
  <si>
    <t>18638660652</t>
  </si>
  <si>
    <t>A1549</t>
  </si>
  <si>
    <t>杨海涛</t>
  </si>
  <si>
    <t>410203197704130013</t>
  </si>
  <si>
    <t>13839561000/13663956397</t>
  </si>
  <si>
    <t>A1551</t>
  </si>
  <si>
    <t>李杰</t>
  </si>
  <si>
    <t>412901197607224015</t>
  </si>
  <si>
    <t>A1553</t>
  </si>
  <si>
    <t>邵琼卢志鹏</t>
  </si>
  <si>
    <t>41272119880214006x、412721198808280338</t>
  </si>
  <si>
    <t>13700830176/15093312206</t>
  </si>
  <si>
    <t>2018/3/33</t>
  </si>
  <si>
    <t>A1554</t>
  </si>
  <si>
    <t>王银记、王聪</t>
  </si>
  <si>
    <t>410122197105298010</t>
  </si>
  <si>
    <t>13653715862/13937153750</t>
  </si>
  <si>
    <t>A1556</t>
  </si>
  <si>
    <t>李壹李力轩</t>
  </si>
  <si>
    <t>412821198803100049</t>
  </si>
  <si>
    <t>15981897957/13663009123/18624901859</t>
  </si>
  <si>
    <t>A1563</t>
  </si>
  <si>
    <t>刘学忠</t>
  </si>
  <si>
    <t>412821195210300017</t>
  </si>
  <si>
    <t>15515975238/15729373881</t>
  </si>
  <si>
    <t>A1564</t>
  </si>
  <si>
    <t>张豪</t>
  </si>
  <si>
    <t>412821199508010037</t>
  </si>
  <si>
    <t>A1567</t>
  </si>
  <si>
    <t>赵春华/李叙颖/李华</t>
  </si>
  <si>
    <t>A1568</t>
  </si>
  <si>
    <t>赵春华/马琳/马悦</t>
  </si>
  <si>
    <t>412729197602247467</t>
  </si>
  <si>
    <t>A1570</t>
  </si>
  <si>
    <t>张逸人</t>
  </si>
  <si>
    <t>410105196305132000</t>
  </si>
  <si>
    <t>金水区健康路176号院7号楼12号</t>
  </si>
  <si>
    <t>A1571</t>
  </si>
  <si>
    <t>芦平</t>
  </si>
  <si>
    <t>411326198408120027</t>
  </si>
  <si>
    <t>15503719690</t>
  </si>
  <si>
    <t>A1572</t>
  </si>
  <si>
    <t>刘灿</t>
  </si>
  <si>
    <t>410122199005118624</t>
  </si>
  <si>
    <t>15890076106/18639023011</t>
  </si>
  <si>
    <t>A1573</t>
  </si>
  <si>
    <t>赵志强</t>
  </si>
  <si>
    <t>410621198206051039</t>
  </si>
  <si>
    <t>13403712360/13523011699/18939520790</t>
  </si>
  <si>
    <t>A1574</t>
  </si>
  <si>
    <t>任永亮</t>
  </si>
  <si>
    <t>413027197105010098</t>
  </si>
  <si>
    <t>A1576</t>
  </si>
  <si>
    <t>王姿涵</t>
  </si>
  <si>
    <t>410105200310120084</t>
  </si>
  <si>
    <t>A1580</t>
  </si>
  <si>
    <t>贺江涛</t>
  </si>
  <si>
    <t>410105197902111611</t>
  </si>
  <si>
    <t>15637115623、15538377890</t>
  </si>
  <si>
    <t>A1581</t>
  </si>
  <si>
    <t>于逸飞</t>
  </si>
  <si>
    <t>410105199411270078</t>
  </si>
  <si>
    <t>18703815777、13838093588</t>
  </si>
  <si>
    <t>A1585</t>
  </si>
  <si>
    <t>张松涛</t>
  </si>
  <si>
    <t>410503197502221511</t>
  </si>
  <si>
    <t>18537258881</t>
  </si>
  <si>
    <t>预约保留协议书</t>
  </si>
  <si>
    <t>A1588</t>
  </si>
  <si>
    <t>李梅</t>
  </si>
  <si>
    <t>412321198511190022</t>
  </si>
  <si>
    <t>18103716162、18839791178</t>
  </si>
  <si>
    <t>A1593</t>
  </si>
  <si>
    <t>张占成</t>
  </si>
  <si>
    <t>410203197612060054</t>
  </si>
  <si>
    <t>A1598</t>
  </si>
  <si>
    <t>李媛</t>
  </si>
  <si>
    <t>410183199411062024</t>
  </si>
  <si>
    <t>A1600</t>
  </si>
  <si>
    <t>马国威</t>
  </si>
  <si>
    <t>41302419820404001X</t>
  </si>
  <si>
    <t>A1602</t>
  </si>
  <si>
    <t>吕奕霖</t>
  </si>
  <si>
    <t>120224199103150029</t>
  </si>
  <si>
    <t>A1604</t>
  </si>
  <si>
    <t>苗永沛</t>
  </si>
  <si>
    <t>410302199210200016</t>
  </si>
  <si>
    <t>A1605</t>
  </si>
  <si>
    <t>王力</t>
  </si>
  <si>
    <t>410523199408265037</t>
  </si>
  <si>
    <t>15226180777</t>
  </si>
  <si>
    <t>A1613</t>
  </si>
  <si>
    <t>刘海洋</t>
  </si>
  <si>
    <t>370481198407286718</t>
  </si>
  <si>
    <t>18638116606</t>
  </si>
  <si>
    <t>A1619</t>
  </si>
  <si>
    <t>要瑞娟</t>
  </si>
  <si>
    <t>410223198608121029</t>
  </si>
  <si>
    <t>18975126908/19937102802</t>
  </si>
  <si>
    <t>A1631</t>
  </si>
  <si>
    <t>李爱英</t>
  </si>
  <si>
    <t>410825196108157523</t>
  </si>
  <si>
    <t>18567062760 18937127485</t>
  </si>
  <si>
    <t>河南省温县招贤乡龙渠村西路二排3排1号</t>
  </si>
  <si>
    <t>A1640</t>
  </si>
  <si>
    <t>翟梦圆</t>
  </si>
  <si>
    <t>410105198902090149</t>
  </si>
  <si>
    <t>A1641</t>
  </si>
  <si>
    <t>张巧莲</t>
  </si>
  <si>
    <t>410105195312181047</t>
  </si>
  <si>
    <t>A1642</t>
  </si>
  <si>
    <t>陈嘉宾</t>
  </si>
  <si>
    <t>411303199609271016</t>
  </si>
  <si>
    <t>河南省南阳市卧龙区中州路254号</t>
  </si>
  <si>
    <t>A1646</t>
  </si>
  <si>
    <t>郑强</t>
  </si>
  <si>
    <t>410103197808103719</t>
  </si>
  <si>
    <t>仅提供转账流水，无其他资料</t>
  </si>
  <si>
    <t>A1656</t>
  </si>
  <si>
    <t>王洋/何茜</t>
  </si>
  <si>
    <t>410102198606110177</t>
  </si>
  <si>
    <t>18737109415</t>
  </si>
  <si>
    <t>郑州市中原区绿都城C3-1-1704</t>
  </si>
  <si>
    <t>A1657</t>
  </si>
  <si>
    <t>吉喆阳</t>
  </si>
  <si>
    <t>410423199003100028</t>
  </si>
  <si>
    <t>申报材料未填数据，有贷款合同和产权证明</t>
  </si>
  <si>
    <t>A1663</t>
  </si>
  <si>
    <t>吴颖淑</t>
  </si>
  <si>
    <t>412328198203229620</t>
  </si>
  <si>
    <t>漏编A1662号</t>
  </si>
  <si>
    <t>A1664</t>
  </si>
  <si>
    <t>刘怀远    刘晓彦</t>
  </si>
  <si>
    <t>412328198212120133</t>
  </si>
  <si>
    <t>13937039688</t>
  </si>
  <si>
    <t>与A1839重复</t>
  </si>
  <si>
    <t>A1665</t>
  </si>
  <si>
    <t>张建莉</t>
  </si>
  <si>
    <t>410106197309060522</t>
  </si>
  <si>
    <t>A1673</t>
  </si>
  <si>
    <t>桑永华</t>
  </si>
  <si>
    <t>A1720</t>
  </si>
  <si>
    <t>仝新朵</t>
  </si>
  <si>
    <t>411322198302115726</t>
  </si>
  <si>
    <t>2017/12/**</t>
  </si>
  <si>
    <t>A1727</t>
  </si>
  <si>
    <t>任业珍</t>
  </si>
  <si>
    <t>4103022196311150044</t>
  </si>
  <si>
    <t>数据填写不完整，未附凭证，按销控表数据认定，待补充资料</t>
  </si>
  <si>
    <t>A1736</t>
  </si>
  <si>
    <t>李书文</t>
  </si>
  <si>
    <t>412926195907050027</t>
  </si>
  <si>
    <t>A1740</t>
  </si>
  <si>
    <t>马芳</t>
  </si>
  <si>
    <t>410105198006306140</t>
  </si>
  <si>
    <t>A1749</t>
  </si>
  <si>
    <t>崔孝美</t>
  </si>
  <si>
    <t>512225196408266783</t>
  </si>
  <si>
    <t>重庆市云阳县沙市镇沙市路215号附50号</t>
  </si>
  <si>
    <t>A1777</t>
  </si>
  <si>
    <t>刘瑜</t>
  </si>
  <si>
    <t>410502197608181021</t>
  </si>
  <si>
    <t>18568817722</t>
  </si>
  <si>
    <t>A1781</t>
  </si>
  <si>
    <t>柯涛</t>
  </si>
  <si>
    <t>412823197401200010</t>
  </si>
  <si>
    <t>柯涛未申报按揭款35万，恒祥账上有，需律所进一步核实</t>
  </si>
  <si>
    <t>A1806</t>
  </si>
  <si>
    <t>袁建慧</t>
  </si>
  <si>
    <t>411322198211204600</t>
  </si>
  <si>
    <t>郑州市金水区九如路1号</t>
  </si>
  <si>
    <t>A1808</t>
  </si>
  <si>
    <t>崔逢一</t>
  </si>
  <si>
    <t>410821198904110041</t>
  </si>
  <si>
    <t>2万元诚意金附恒祥优惠升级优惠确认函，盖恒祥公章，无收据，需补充资料</t>
  </si>
  <si>
    <t>A1816</t>
  </si>
  <si>
    <t>申江丽</t>
  </si>
  <si>
    <r>
      <rPr>
        <sz val="10"/>
        <color theme="1"/>
        <rFont val="等线"/>
        <charset val="134"/>
      </rPr>
      <t>4</t>
    </r>
    <r>
      <rPr>
        <sz val="10"/>
        <color indexed="8"/>
        <rFont val="等线"/>
        <charset val="134"/>
      </rPr>
      <t>12824198610043526</t>
    </r>
  </si>
  <si>
    <t>15136270772</t>
  </si>
  <si>
    <t>恒祥房地产（洛阳银行）</t>
  </si>
  <si>
    <t>A1819</t>
  </si>
  <si>
    <t>张改风</t>
  </si>
  <si>
    <t>410126196210220742</t>
  </si>
  <si>
    <t>A1841</t>
  </si>
  <si>
    <t>张长明</t>
  </si>
  <si>
    <t>410182198705040014</t>
  </si>
  <si>
    <t>申报其他费用2500元未提供任何证据资料</t>
  </si>
  <si>
    <t>A1853</t>
  </si>
  <si>
    <t>殷智军</t>
  </si>
  <si>
    <t>410102196912100023</t>
  </si>
  <si>
    <t>A1860</t>
  </si>
  <si>
    <t>魏玉芹</t>
  </si>
  <si>
    <t>410503195606031027</t>
  </si>
  <si>
    <t>A1864</t>
  </si>
  <si>
    <t>刘计拴</t>
  </si>
  <si>
    <t>410522197901132216</t>
  </si>
  <si>
    <t>13673338888</t>
  </si>
  <si>
    <t>A1866</t>
  </si>
  <si>
    <t>李利</t>
  </si>
  <si>
    <t>410303198409253221</t>
  </si>
  <si>
    <t>A1873-1</t>
  </si>
  <si>
    <t>刘新歌</t>
  </si>
  <si>
    <t>410181198007056549</t>
  </si>
  <si>
    <t>A1873-2</t>
  </si>
  <si>
    <t>A1876</t>
  </si>
  <si>
    <t>史雷</t>
  </si>
  <si>
    <t>412722197902110038</t>
  </si>
  <si>
    <t>A1878</t>
  </si>
  <si>
    <t>甄奎</t>
  </si>
  <si>
    <t>410104198101227639</t>
  </si>
  <si>
    <t>A1887</t>
  </si>
  <si>
    <t>陈新华</t>
  </si>
  <si>
    <t>410103197806053746</t>
  </si>
  <si>
    <t>A1889</t>
  </si>
  <si>
    <t>王若飞</t>
  </si>
  <si>
    <t>410426198811157019</t>
  </si>
  <si>
    <t>13693716666、13673353867</t>
  </si>
  <si>
    <t>A1891-1</t>
  </si>
  <si>
    <t>乔洁</t>
  </si>
  <si>
    <t>410503197011232523</t>
  </si>
  <si>
    <t>13598135666</t>
  </si>
  <si>
    <t>白国法2015.9.24收条显示收9号楼1502/1602房款现金100万元，2套房总房款为180万，并加盖恒祥实业公章，2017.12.20乔洁转恒祥实业80万元，账面计入其他应付款-预约保留金；申报债权金额为90*2=180,销控表登记2套房分别收到266667元</t>
  </si>
  <si>
    <t>A1891-2</t>
  </si>
  <si>
    <t>A1895</t>
  </si>
  <si>
    <t>周子洋</t>
  </si>
  <si>
    <t>411023200001083513</t>
  </si>
  <si>
    <t>13949113338</t>
  </si>
  <si>
    <t>A1897</t>
  </si>
  <si>
    <t>周均增</t>
  </si>
  <si>
    <t>410103196310133799</t>
  </si>
  <si>
    <t>15515937777</t>
  </si>
  <si>
    <t>广发基础工程款抵房</t>
  </si>
  <si>
    <t>身份证</t>
  </si>
  <si>
    <t>层次</t>
  </si>
  <si>
    <t>车位号</t>
  </si>
  <si>
    <t>新编号</t>
  </si>
  <si>
    <t>利息/违约金</t>
  </si>
  <si>
    <t>房地产收据金额</t>
  </si>
  <si>
    <t>孙晓佳</t>
  </si>
  <si>
    <t>李甲</t>
  </si>
  <si>
    <t>奚迅</t>
  </si>
  <si>
    <t>胡冬梅</t>
  </si>
  <si>
    <t>A0211</t>
  </si>
  <si>
    <t>邢华锋</t>
  </si>
  <si>
    <t>410105197411306174</t>
  </si>
  <si>
    <t>B262-294</t>
  </si>
  <si>
    <t>需要再补充资料，仅有车位，无住宅</t>
  </si>
  <si>
    <t>王晨</t>
  </si>
  <si>
    <t>210403196312111824</t>
  </si>
  <si>
    <t>3FD036</t>
  </si>
  <si>
    <t>13607610265</t>
  </si>
  <si>
    <t>413026196811146952</t>
  </si>
  <si>
    <t>未签协议</t>
  </si>
  <si>
    <t>高晨瀚</t>
  </si>
  <si>
    <t>13526435083</t>
  </si>
  <si>
    <t>付亚杰代恒祥支付，附原业主出具的收据</t>
  </si>
  <si>
    <t>董世</t>
  </si>
  <si>
    <t>王朝杰申报</t>
  </si>
  <si>
    <t>贾西林</t>
  </si>
  <si>
    <t>曾嘉华</t>
  </si>
  <si>
    <t>18638163724/18503859230</t>
  </si>
  <si>
    <t>410105198511050270</t>
  </si>
  <si>
    <t>赵梅芝、周子晔</t>
  </si>
  <si>
    <t>13838111759</t>
  </si>
  <si>
    <t>410105198911170132</t>
  </si>
  <si>
    <t>C227</t>
  </si>
  <si>
    <t>赵梅芝、任慧婷</t>
  </si>
  <si>
    <t>410105196506191029</t>
  </si>
  <si>
    <t>C228</t>
  </si>
  <si>
    <t>0567</t>
  </si>
  <si>
    <t>贷17万未签车位协议</t>
  </si>
  <si>
    <t>13663715039 18637179611</t>
  </si>
  <si>
    <t>41292219720613298X</t>
  </si>
  <si>
    <t>施小娅更</t>
  </si>
  <si>
    <t>司玲新</t>
  </si>
  <si>
    <t>位置未选</t>
  </si>
  <si>
    <t>收据：负四层车位一个（送2个车位）</t>
  </si>
  <si>
    <t>A1334</t>
  </si>
  <si>
    <t>陈莹</t>
  </si>
  <si>
    <t>230227198204130123</t>
  </si>
  <si>
    <t>李瑞敏、张炜</t>
  </si>
  <si>
    <t>梁风枝</t>
  </si>
  <si>
    <t>销控表登记为梁凤枝</t>
  </si>
  <si>
    <t>A1586</t>
  </si>
  <si>
    <t>来关顺</t>
  </si>
  <si>
    <t>15803805828</t>
  </si>
  <si>
    <t>410503195711190513</t>
  </si>
  <si>
    <t>4FD062</t>
  </si>
  <si>
    <t>410402197501042528</t>
  </si>
  <si>
    <t>手机号</t>
  </si>
  <si>
    <t>楼
层</t>
  </si>
  <si>
    <t>户室
号</t>
  </si>
  <si>
    <t>房屋建
筑面积</t>
  </si>
  <si>
    <t>销售</t>
  </si>
  <si>
    <t>房号</t>
  </si>
  <si>
    <t>销售
面积</t>
  </si>
  <si>
    <t>定房日期</t>
  </si>
  <si>
    <t>实交首
付日期</t>
  </si>
  <si>
    <t>付款方式
（按揭/公积金/一次性）</t>
  </si>
  <si>
    <t>预估
单价</t>
  </si>
  <si>
    <t>预估
总价</t>
  </si>
  <si>
    <t>优惠后单价</t>
  </si>
  <si>
    <t>优惠后
总房款</t>
  </si>
  <si>
    <t>总付款</t>
  </si>
  <si>
    <t>预计按揭款</t>
  </si>
  <si>
    <t>维修
基金</t>
  </si>
  <si>
    <t>产权
登记费</t>
  </si>
  <si>
    <t>需退款</t>
  </si>
  <si>
    <t>j</t>
  </si>
  <si>
    <t>网签日期</t>
  </si>
  <si>
    <t>中介费
及其他</t>
  </si>
  <si>
    <t>申报利息违约金</t>
  </si>
  <si>
    <t>收款账号</t>
  </si>
  <si>
    <t>房地产
收据金额</t>
  </si>
  <si>
    <t>A0001</t>
  </si>
  <si>
    <t>赵黎</t>
  </si>
  <si>
    <t>41010419590408202X</t>
  </si>
  <si>
    <t>郑州市管城回族区晋王庙108号院3号楼10号</t>
  </si>
  <si>
    <t>问道</t>
  </si>
  <si>
    <t>3F6-049</t>
  </si>
  <si>
    <t>2019-4-21</t>
  </si>
  <si>
    <t>A0003</t>
  </si>
  <si>
    <t>薛芳</t>
  </si>
  <si>
    <t>132522198208143821</t>
  </si>
  <si>
    <t>郑州市中原区须贾路4号院</t>
  </si>
  <si>
    <t>15638512306
15003712511</t>
  </si>
  <si>
    <t>21世纪</t>
  </si>
  <si>
    <t>3FB-154</t>
  </si>
  <si>
    <t>2019-2-23</t>
  </si>
  <si>
    <t>2020-7-29</t>
  </si>
  <si>
    <t>已</t>
  </si>
  <si>
    <t>A0007</t>
  </si>
  <si>
    <t>王冉冉</t>
  </si>
  <si>
    <t>410523198905167564</t>
  </si>
  <si>
    <t>河南省汤阴县宜沟镇王军庄村280号</t>
  </si>
  <si>
    <t>3F4-057</t>
  </si>
  <si>
    <t>2019-8-25</t>
  </si>
  <si>
    <t>2019-8-31</t>
  </si>
  <si>
    <t>一次性分期</t>
  </si>
  <si>
    <t>河北问道70839，恒祥实业159161</t>
  </si>
  <si>
    <t>A0010</t>
  </si>
  <si>
    <t>马赛
侯凌艳</t>
  </si>
  <si>
    <t>412728198905252544</t>
  </si>
  <si>
    <t>河南省沈丘县纸店镇丘庄行政村侯庄148号</t>
  </si>
  <si>
    <t>4FA-141</t>
  </si>
  <si>
    <t>2018-11-18</t>
  </si>
  <si>
    <t>2020-5-31</t>
  </si>
  <si>
    <t>A0011</t>
  </si>
  <si>
    <t>张宣堂</t>
  </si>
  <si>
    <t>320926196512010419</t>
  </si>
  <si>
    <t>郑州市中原区伏牛路197号</t>
  </si>
  <si>
    <t>4F9-002</t>
  </si>
  <si>
    <t>2019-5-11</t>
  </si>
  <si>
    <t>2019-5-14</t>
  </si>
  <si>
    <t>A0022</t>
  </si>
  <si>
    <t>皇甫秋艳</t>
  </si>
  <si>
    <t>410822198808074526</t>
  </si>
  <si>
    <t>河南省中牟县大孟乡大庙李村168号附1号</t>
  </si>
  <si>
    <t>1F5-039</t>
  </si>
  <si>
    <t>2019-10-30</t>
  </si>
  <si>
    <t>2020-6-20</t>
  </si>
  <si>
    <t>A0026</t>
  </si>
  <si>
    <t>胡洋</t>
  </si>
  <si>
    <t>410105198311153830</t>
  </si>
  <si>
    <t>郑州市金水区沙口路108号院9号</t>
  </si>
  <si>
    <t>4F1-083</t>
  </si>
  <si>
    <t>2019-4-13</t>
  </si>
  <si>
    <t>A0027</t>
  </si>
  <si>
    <t>孟丹</t>
  </si>
  <si>
    <t>411424198506153327</t>
  </si>
  <si>
    <t>郑州市金水区商务外环路8号楼2201号</t>
  </si>
  <si>
    <t>2FA-013</t>
  </si>
  <si>
    <t>2018-11-14</t>
  </si>
  <si>
    <t>2018-11-27</t>
  </si>
  <si>
    <t>A0030</t>
  </si>
  <si>
    <t>杨建军</t>
  </si>
  <si>
    <t>412028197407110015</t>
  </si>
  <si>
    <t>郑州市金水区国基路102号院7号楼18号</t>
  </si>
  <si>
    <t>4F5-053</t>
  </si>
  <si>
    <t>2019-10-13</t>
  </si>
  <si>
    <t>A0031</t>
  </si>
  <si>
    <t>410102198310302524</t>
  </si>
  <si>
    <t>北京市西城区三里河二区南一巷一号</t>
  </si>
  <si>
    <t>17601640655
17601648376</t>
  </si>
  <si>
    <t>2FA-031</t>
  </si>
  <si>
    <t>2020-6-11</t>
  </si>
  <si>
    <t>A0033</t>
  </si>
  <si>
    <t>张健
朱美菊</t>
  </si>
  <si>
    <t>410105197911171616/410105195311090047</t>
  </si>
  <si>
    <t>郑州市金水区纬五路16号院</t>
  </si>
  <si>
    <t>18137828819
18137785053</t>
  </si>
  <si>
    <t>1FA-041</t>
  </si>
  <si>
    <t>2018-11-13</t>
  </si>
  <si>
    <t>2018-12-17</t>
  </si>
  <si>
    <t>A0035</t>
  </si>
  <si>
    <t>芦强</t>
  </si>
  <si>
    <t>410802199512280012</t>
  </si>
  <si>
    <t>河南省焦作市解放区民主中路统建71号楼2单元5号</t>
  </si>
  <si>
    <t>13939178811
15112490829</t>
  </si>
  <si>
    <t>1F8-118</t>
  </si>
  <si>
    <t>2019-7-2</t>
  </si>
  <si>
    <t>2019-7-19</t>
  </si>
  <si>
    <t>A0039</t>
  </si>
  <si>
    <t>文丽英</t>
  </si>
  <si>
    <t>412702197201060028</t>
  </si>
  <si>
    <t>郑州市金水区生产路7号4号楼64号</t>
  </si>
  <si>
    <t>3F6-117</t>
  </si>
  <si>
    <t>2019-5-15</t>
  </si>
  <si>
    <t>2019-8-4</t>
  </si>
  <si>
    <t>韩润更</t>
  </si>
  <si>
    <t>无付款凭证</t>
  </si>
  <si>
    <t>A0040-1</t>
  </si>
  <si>
    <t>郑可垚
刘春平</t>
  </si>
  <si>
    <t>410503200103060014
410503197610042027</t>
  </si>
  <si>
    <t>3F10-044</t>
  </si>
  <si>
    <t>2019-12-21</t>
  </si>
  <si>
    <t>A0040-2</t>
  </si>
  <si>
    <t>4F3-015</t>
  </si>
  <si>
    <t>A0045</t>
  </si>
  <si>
    <t>魏方正</t>
  </si>
  <si>
    <t>410526199202012017</t>
  </si>
  <si>
    <t>河南省滑县四间房乡南呼村85号</t>
  </si>
  <si>
    <t>3F8-049</t>
  </si>
  <si>
    <t>2019-5-19</t>
  </si>
  <si>
    <t>2020-5-30</t>
  </si>
  <si>
    <t>合同面积15.03平米，后续增加至15.45平米</t>
  </si>
  <si>
    <t>A0046</t>
  </si>
  <si>
    <t>张健</t>
  </si>
  <si>
    <t>412702199201057418</t>
  </si>
  <si>
    <t>郑州市金水区国基路56号院8号楼2单元1302号</t>
  </si>
  <si>
    <t>1F2-103</t>
  </si>
  <si>
    <t>2019-4-24</t>
  </si>
  <si>
    <t>pos、转账</t>
  </si>
  <si>
    <t>恒祥实业407180元、河北问道99686元</t>
  </si>
  <si>
    <t>A0050</t>
  </si>
  <si>
    <t>樊朝彩</t>
  </si>
  <si>
    <t>410526196603189127</t>
  </si>
  <si>
    <t>河南省滑县王庄镇堤南村18号</t>
  </si>
  <si>
    <t>3F10-003</t>
  </si>
  <si>
    <t>2019-12-27</t>
  </si>
  <si>
    <t>A0051</t>
  </si>
  <si>
    <t>关伟伟</t>
  </si>
  <si>
    <t>411224199002251410</t>
  </si>
  <si>
    <t>郑州市高新技术开发区石佛镇石佛村南二街58号</t>
  </si>
  <si>
    <t>3F5-102</t>
  </si>
  <si>
    <t>2019-7-12</t>
  </si>
  <si>
    <t>2019-7-17</t>
  </si>
  <si>
    <t>转账记录比收据多16元</t>
  </si>
  <si>
    <t>河北问道57989元
恒祥实业241921元</t>
  </si>
  <si>
    <t>A0052</t>
  </si>
  <si>
    <t>张娟</t>
  </si>
  <si>
    <t>411122197901023000</t>
  </si>
  <si>
    <t>郑州市金水区丰庆路126号院24号楼302室</t>
  </si>
  <si>
    <t>4FA-109</t>
  </si>
  <si>
    <t>2018-11-15</t>
  </si>
  <si>
    <t>A0055</t>
  </si>
  <si>
    <t>马策军</t>
  </si>
  <si>
    <t>65432519860727031X</t>
  </si>
  <si>
    <t>郑州市金水区文化路75号</t>
  </si>
  <si>
    <t>4FA-022</t>
  </si>
  <si>
    <t>2018-11-17</t>
  </si>
  <si>
    <t>POS小票144137元</t>
  </si>
  <si>
    <t>A0056</t>
  </si>
  <si>
    <t>黄艳</t>
  </si>
  <si>
    <t>410103198404190160</t>
  </si>
  <si>
    <t>郑州市管城回族区布厂街135号21号楼2单元23号</t>
  </si>
  <si>
    <t>3F2-009</t>
  </si>
  <si>
    <t>2019-4-15</t>
  </si>
  <si>
    <t>2019-4-30</t>
  </si>
  <si>
    <t>A0057</t>
  </si>
  <si>
    <t>岳腊梅</t>
  </si>
  <si>
    <t>412827198007152380</t>
  </si>
  <si>
    <t>河南省平舆县高杨店镇中高村委小李庄</t>
  </si>
  <si>
    <t>4FA-146</t>
  </si>
  <si>
    <t>2018-11-25</t>
  </si>
  <si>
    <t>2020-5-21</t>
  </si>
  <si>
    <t>A0060</t>
  </si>
  <si>
    <t>段春来
李娜</t>
  </si>
  <si>
    <t>411121198201077030
411121198204152024</t>
  </si>
  <si>
    <t>河南省舞阳县保和乡段庄村56号</t>
  </si>
  <si>
    <t>1F5-081</t>
  </si>
  <si>
    <t>2019-8-29</t>
  </si>
  <si>
    <t>A0062</t>
  </si>
  <si>
    <t>张菊</t>
  </si>
  <si>
    <t>412725197001130348</t>
  </si>
  <si>
    <t>郑州市金水区红旗路134号院6号楼7号</t>
  </si>
  <si>
    <t>15346083889
18539755559</t>
  </si>
  <si>
    <t>3FA-052</t>
  </si>
  <si>
    <t>POS小票825325元</t>
  </si>
  <si>
    <t>A0063</t>
  </si>
  <si>
    <t>聂玉萍</t>
  </si>
  <si>
    <t>41010319661007062X</t>
  </si>
  <si>
    <t>郑州市管城回族区城南路199号附3号</t>
  </si>
  <si>
    <t>15537110287
18503898929</t>
  </si>
  <si>
    <t>1F8-075</t>
  </si>
  <si>
    <t>2019-6-24</t>
  </si>
  <si>
    <t>2020-6-5</t>
  </si>
  <si>
    <t>合同总房款13551208元</t>
  </si>
  <si>
    <t>A0064</t>
  </si>
  <si>
    <t>李存兵</t>
  </si>
  <si>
    <t>411403198610026035</t>
  </si>
  <si>
    <t>河南省商丘市睢阳区毛固堆乡后张楼村关庄53号</t>
  </si>
  <si>
    <t>4F5-073</t>
  </si>
  <si>
    <t>2019-10-7</t>
  </si>
  <si>
    <t>A0065</t>
  </si>
  <si>
    <t>葛保玲</t>
  </si>
  <si>
    <t>410223199003130525</t>
  </si>
  <si>
    <t>河南省尉氏县邢庄乡屈楼村二组</t>
  </si>
  <si>
    <t>1F2-052</t>
  </si>
  <si>
    <t>2019-4-19</t>
  </si>
  <si>
    <t>A0066</t>
  </si>
  <si>
    <t>赵兴英</t>
  </si>
  <si>
    <t>411323198901292149</t>
  </si>
  <si>
    <t>郑州市管城回族区腾飞路4号院2号楼165号</t>
  </si>
  <si>
    <t>3F8-046</t>
  </si>
  <si>
    <t>2019-5-23</t>
  </si>
  <si>
    <t>3F8-047定金转入</t>
  </si>
  <si>
    <t>A0067</t>
  </si>
  <si>
    <t>李翠玲</t>
  </si>
  <si>
    <t>410504197309041523</t>
  </si>
  <si>
    <t>河南省安阳市殷都区水铁路1号院3区11号楼501号</t>
  </si>
  <si>
    <t>1F5-057</t>
  </si>
  <si>
    <t>2019-9-25</t>
  </si>
  <si>
    <t>A0069</t>
  </si>
  <si>
    <t>孙红梅</t>
  </si>
  <si>
    <t>412723197511193848</t>
  </si>
  <si>
    <t>河南省上蔡县小岳寺乡双河村41-1</t>
  </si>
  <si>
    <t>15139697011/15617966987</t>
  </si>
  <si>
    <t>3F8-097</t>
  </si>
  <si>
    <t>2019-5-26</t>
  </si>
  <si>
    <t>2020-7-10</t>
  </si>
  <si>
    <t>A0071</t>
  </si>
  <si>
    <t>杨西利</t>
  </si>
  <si>
    <t>372524197607116612</t>
  </si>
  <si>
    <t>北京市朝阳区方舟苑3号楼310号</t>
  </si>
  <si>
    <t>1F7-015</t>
  </si>
  <si>
    <t>2019-7-30</t>
  </si>
  <si>
    <t>2020-8-30</t>
  </si>
  <si>
    <t>A0072</t>
  </si>
  <si>
    <t>葛凤玲</t>
  </si>
  <si>
    <t>412327197702099225</t>
  </si>
  <si>
    <t>河南省柘城县大许乡张小村关庄西组013号</t>
  </si>
  <si>
    <t>3F1-087</t>
  </si>
  <si>
    <t>2019-9-17</t>
  </si>
  <si>
    <t>2020-8-1</t>
  </si>
  <si>
    <t>2019.8.14提交退款申请</t>
  </si>
  <si>
    <t>A0073</t>
  </si>
  <si>
    <t>郭春淼</t>
  </si>
  <si>
    <t>410107197002050510</t>
  </si>
  <si>
    <t>郑州市金水区三全路90号院7号楼1单元27号</t>
  </si>
  <si>
    <t>1F7-077</t>
  </si>
  <si>
    <t>2019-5-3</t>
  </si>
  <si>
    <t>2019-5-20</t>
  </si>
  <si>
    <t>A0074</t>
  </si>
  <si>
    <t>史兴燕</t>
  </si>
  <si>
    <t>410123197906164023</t>
  </si>
  <si>
    <t>河南省中牟县青年西路41号院2号楼17号</t>
  </si>
  <si>
    <t>4F9-024</t>
  </si>
  <si>
    <t>2019-5-13</t>
  </si>
  <si>
    <t>张艳144822元；恒祥实业8万元</t>
  </si>
  <si>
    <t>A0075</t>
  </si>
  <si>
    <t>姜飞</t>
  </si>
  <si>
    <t>410711198009140043</t>
  </si>
  <si>
    <t>郑州市中原区董寨路38号2单元2602室</t>
  </si>
  <si>
    <t>3F9-034</t>
  </si>
  <si>
    <t>2019-8-22</t>
  </si>
  <si>
    <t>2020-8-7</t>
  </si>
  <si>
    <t>2019.8.23申请退款</t>
  </si>
  <si>
    <t>A0081</t>
  </si>
  <si>
    <t>赵菊梅、郜玲玉</t>
  </si>
  <si>
    <t>411121199009195541/410521198712085543</t>
  </si>
  <si>
    <t>河南省漯河市源汇区丁湾村384号</t>
  </si>
  <si>
    <t>18676896152</t>
  </si>
  <si>
    <t>4FC-068</t>
  </si>
  <si>
    <t>2019-1-12</t>
  </si>
  <si>
    <t>2019-1-15</t>
  </si>
  <si>
    <t>A0084</t>
  </si>
  <si>
    <t>苏海波</t>
  </si>
  <si>
    <t>140524198803194917</t>
  </si>
  <si>
    <t>山西陵川县崇文镇仕图苑居委杂居122号</t>
  </si>
  <si>
    <t>1F8-024</t>
  </si>
  <si>
    <t>2019-8-17</t>
  </si>
  <si>
    <t>恒实业</t>
  </si>
  <si>
    <t>A0085</t>
  </si>
  <si>
    <t>岳慧丽</t>
  </si>
  <si>
    <t>410122198103168049</t>
  </si>
  <si>
    <t>河南省中牟县城关镇商都大街35号院</t>
  </si>
  <si>
    <t>1F8-153</t>
  </si>
  <si>
    <t>2019-10-28</t>
  </si>
  <si>
    <t>2020-7-9</t>
  </si>
  <si>
    <t>A0088</t>
  </si>
  <si>
    <t>唐李果</t>
  </si>
  <si>
    <t>411081198406292587</t>
  </si>
  <si>
    <t>郑州市金水区晨旭路10号院3号楼10号</t>
  </si>
  <si>
    <t>3F5-019</t>
  </si>
  <si>
    <t>原3F5-019调至此</t>
  </si>
  <si>
    <t>A0089</t>
  </si>
  <si>
    <t>杨扬、白云波</t>
  </si>
  <si>
    <t>413024197502100418/410105197611021632</t>
  </si>
  <si>
    <t>河南省潢川县定城办事处环城东路88号</t>
  </si>
  <si>
    <t>18625571523</t>
  </si>
  <si>
    <t>4FA-107</t>
  </si>
  <si>
    <t>2020-5-22</t>
  </si>
  <si>
    <t>A0092</t>
  </si>
  <si>
    <t>牛杰</t>
  </si>
  <si>
    <t>410726198810010011</t>
  </si>
  <si>
    <t>河南省新乡市红旗区华兰大道81号10号楼1单元1单元1602室</t>
  </si>
  <si>
    <t>16696007370</t>
  </si>
  <si>
    <t>1FA-108</t>
  </si>
  <si>
    <t>2019-2-12</t>
  </si>
  <si>
    <t>A0093</t>
  </si>
  <si>
    <t>贾岭</t>
  </si>
  <si>
    <t>410102196611247056</t>
  </si>
  <si>
    <t>郑州市中原区陇海西路306号院12号楼2单元301号</t>
  </si>
  <si>
    <t>4F9-009</t>
  </si>
  <si>
    <t>2019-5-12</t>
  </si>
  <si>
    <t>2019-5-16</t>
  </si>
  <si>
    <t>A0094</t>
  </si>
  <si>
    <t>411381198907105352</t>
  </si>
  <si>
    <t>郑州市金水区经二路北11号</t>
  </si>
  <si>
    <t>3F6-070</t>
  </si>
  <si>
    <t>2019-4-29</t>
  </si>
  <si>
    <t>2019-5-1</t>
  </si>
  <si>
    <t>恒祥实业2万元；
河北问道66869元</t>
  </si>
  <si>
    <t>A0095</t>
  </si>
  <si>
    <t>李亚冰</t>
  </si>
  <si>
    <t>410108198812140025</t>
  </si>
  <si>
    <t>郑州市惠济区花园口镇李拐村89号</t>
  </si>
  <si>
    <t>3F5-065</t>
  </si>
  <si>
    <t>2019-6-29</t>
  </si>
  <si>
    <t>A0096-1</t>
  </si>
  <si>
    <t>朱萧帆
张普润
理傲冰</t>
  </si>
  <si>
    <t>411422198909290673</t>
  </si>
  <si>
    <t>河南省雎县潮庄镇火楼村46号</t>
  </si>
  <si>
    <t>4F5-036</t>
  </si>
  <si>
    <t>2019-10-17</t>
  </si>
  <si>
    <t>2019-10-20</t>
  </si>
  <si>
    <t>2019.10.17提交退款申请</t>
  </si>
  <si>
    <t>A0096-2</t>
  </si>
  <si>
    <t>朱萧帆 魏凤</t>
  </si>
  <si>
    <t>411422198908290673</t>
  </si>
  <si>
    <t>河南省雎县潮庄火楼村46号</t>
  </si>
  <si>
    <t>3F7-105</t>
  </si>
  <si>
    <t>2019-6-27</t>
  </si>
  <si>
    <t>李群已退款完</t>
  </si>
  <si>
    <t>A0097</t>
  </si>
  <si>
    <t>闫雪</t>
  </si>
  <si>
    <t>411527199211183042</t>
  </si>
  <si>
    <t>河南省淮滨县三空桥乡郝元村闫庄组</t>
  </si>
  <si>
    <t>1F8-156</t>
  </si>
  <si>
    <t>2019-10-25</t>
  </si>
  <si>
    <t>A0100</t>
  </si>
  <si>
    <t>魏丽</t>
  </si>
  <si>
    <t>410184198909292523</t>
  </si>
  <si>
    <t>河南省新郑市龙湖镇魏庄480号</t>
  </si>
  <si>
    <t>3F6-047</t>
  </si>
  <si>
    <t>2020-11-14</t>
  </si>
  <si>
    <t>A0102</t>
  </si>
  <si>
    <t>胡育华</t>
  </si>
  <si>
    <t>432522197908300361</t>
  </si>
  <si>
    <t>河南省双峰县永丰镇洋荆村松山村民组</t>
  </si>
  <si>
    <t>3F8-050</t>
  </si>
  <si>
    <t>2019-5-17</t>
  </si>
  <si>
    <t>从3F8-044调至此</t>
  </si>
  <si>
    <t>A0104</t>
  </si>
  <si>
    <t>王春燕</t>
  </si>
  <si>
    <t>411222198904046021</t>
  </si>
  <si>
    <t>郑州市二七区大学北路75号院21号楼1单元11号</t>
  </si>
  <si>
    <t>3F8-086</t>
  </si>
  <si>
    <t>2019-6-2</t>
  </si>
  <si>
    <t>2019-6-3</t>
  </si>
  <si>
    <t>恒祥实业145864元；
河北问道35082元</t>
  </si>
  <si>
    <t>A0105</t>
  </si>
  <si>
    <t>周磊</t>
  </si>
  <si>
    <t>411523198610290478</t>
  </si>
  <si>
    <t>郑州市金水区郑花路59号院达观58号楼368单元14号</t>
  </si>
  <si>
    <t>1F6-025</t>
  </si>
  <si>
    <t>2019-4-25</t>
  </si>
  <si>
    <t>2020-5-27</t>
  </si>
  <si>
    <t>A0108</t>
  </si>
  <si>
    <t>唐永昌
李艳</t>
  </si>
  <si>
    <t>410703195608139518
41070319651030206X</t>
  </si>
  <si>
    <t>河南省新乡市卫滨区人民中路514号10号楼5单元11号</t>
  </si>
  <si>
    <t>1F7-016</t>
  </si>
  <si>
    <t>2019-6-28</t>
  </si>
  <si>
    <t>A0109</t>
  </si>
  <si>
    <t>李莉</t>
  </si>
  <si>
    <t>410703197003012046</t>
  </si>
  <si>
    <t>郑州市金水区北环路61号院8号楼3单元86号</t>
  </si>
  <si>
    <t>1F7-017</t>
  </si>
  <si>
    <t>2019-7-4</t>
  </si>
  <si>
    <t>A0110</t>
  </si>
  <si>
    <t>弋宗桥</t>
  </si>
  <si>
    <t>410107197208150613</t>
  </si>
  <si>
    <t>郑州市高新技术开发区桂花西街5号院1号楼1单元1号</t>
  </si>
  <si>
    <t>4F1-118</t>
  </si>
  <si>
    <t>2019-6-22</t>
  </si>
  <si>
    <t>2019.6.20申请退款</t>
  </si>
  <si>
    <t>A0111</t>
  </si>
  <si>
    <t>王冲冲</t>
  </si>
  <si>
    <t>410182198710292470</t>
  </si>
  <si>
    <t>河南省辉县市峪河镇姬庄村</t>
  </si>
  <si>
    <t>1F8-140</t>
  </si>
  <si>
    <t>2019-7-21</t>
  </si>
  <si>
    <t>A0112</t>
  </si>
  <si>
    <t>张淑霞
闫琛</t>
  </si>
  <si>
    <t>410107197012271544
410101199607222515</t>
  </si>
  <si>
    <t>郑州市金水区纬五路12号院11号楼20号</t>
  </si>
  <si>
    <t>3F5-004</t>
  </si>
  <si>
    <t>2019-6-15</t>
  </si>
  <si>
    <t>2019-6-16</t>
  </si>
  <si>
    <t>A0113</t>
  </si>
  <si>
    <t>张晓飞</t>
  </si>
  <si>
    <t>4104821987062661093</t>
  </si>
  <si>
    <t>河南省汝州市临汝镇北村12号院485号</t>
  </si>
  <si>
    <t>1F8-139</t>
  </si>
  <si>
    <t>2019-8-5</t>
  </si>
  <si>
    <t>A0116</t>
  </si>
  <si>
    <t>410103199301272013</t>
  </si>
  <si>
    <t>河南省新乡市卫滨区建国路65号加单元10号</t>
  </si>
  <si>
    <t>4F7-010</t>
  </si>
  <si>
    <t>2019-4-27</t>
  </si>
  <si>
    <t>2019-5-10</t>
  </si>
  <si>
    <t>A0118</t>
  </si>
  <si>
    <t>刘芳翡</t>
  </si>
  <si>
    <t>420106198209071220</t>
  </si>
  <si>
    <t>郑州市金水区红旗路26号院2号楼2单元907号</t>
  </si>
  <si>
    <t>1F6-097</t>
  </si>
  <si>
    <t>2020-6-19</t>
  </si>
  <si>
    <t>A0119</t>
  </si>
  <si>
    <t>吴瑞锋</t>
  </si>
  <si>
    <t>410182198807083779</t>
  </si>
  <si>
    <t>河南省新密市牛店镇土门村常家沟47号</t>
  </si>
  <si>
    <t>4F10-006</t>
  </si>
  <si>
    <t>2019-5-4</t>
  </si>
  <si>
    <t>2019-5-7</t>
  </si>
  <si>
    <t>POS机</t>
  </si>
  <si>
    <t>看不清</t>
  </si>
  <si>
    <t>A0121</t>
  </si>
  <si>
    <t>梁丹</t>
  </si>
  <si>
    <t>410104198306150516</t>
  </si>
  <si>
    <t>郑州市管城回族区郑汴路72号院1号楼附15号</t>
  </si>
  <si>
    <t>4FA-148</t>
  </si>
  <si>
    <t>恒祥实业854089元</t>
  </si>
  <si>
    <t>A0122</t>
  </si>
  <si>
    <t>潘越</t>
  </si>
  <si>
    <t>320323198903317319</t>
  </si>
  <si>
    <t>江苏省徐州市经济开发区徐庄镇尤家村7队85号</t>
  </si>
  <si>
    <t>15290838010/13838393318</t>
  </si>
  <si>
    <t>4FC-069</t>
  </si>
  <si>
    <t>2019-1-27</t>
  </si>
  <si>
    <t>2019-1-28</t>
  </si>
  <si>
    <t>A0123</t>
  </si>
  <si>
    <t>牛爱霞</t>
  </si>
  <si>
    <t>410105197711187525</t>
  </si>
  <si>
    <t>郑州市金水区姚桥乡后牛岗村205号</t>
  </si>
  <si>
    <t>4F6-023</t>
  </si>
  <si>
    <t>2019-4-7</t>
  </si>
  <si>
    <t>A0124</t>
  </si>
  <si>
    <t>甄若琳、师鑫</t>
  </si>
  <si>
    <t>41040319950602552X、410105199008090130</t>
  </si>
  <si>
    <t>郑州市金水区姚桥乡刘江村27号</t>
  </si>
  <si>
    <t>13140128013/15538165881</t>
  </si>
  <si>
    <t>4F6-018</t>
  </si>
  <si>
    <t>A0125</t>
  </si>
  <si>
    <t>张丽娟</t>
  </si>
  <si>
    <t>411123197905186524</t>
  </si>
  <si>
    <t>郑州市金水区福彩路2号院5号楼96号</t>
  </si>
  <si>
    <t>1F8-175</t>
  </si>
  <si>
    <t>2019-11-2</t>
  </si>
  <si>
    <t>2020-1-19</t>
  </si>
  <si>
    <t>10.11.1李威挞定11.11从1F6-039调至此</t>
  </si>
  <si>
    <t>A0127</t>
  </si>
  <si>
    <t>李柏翰</t>
  </si>
  <si>
    <t>411621200810165033</t>
  </si>
  <si>
    <t>河南省扶沟县包屯镇肖庄行政村肖庄村</t>
  </si>
  <si>
    <t>3891</t>
  </si>
  <si>
    <t>3F9-058</t>
  </si>
  <si>
    <t>2019-9-2</t>
  </si>
  <si>
    <t>2020-9-23</t>
  </si>
  <si>
    <t>A0129</t>
  </si>
  <si>
    <t>薛莲</t>
  </si>
  <si>
    <t>41072519850530042X</t>
  </si>
  <si>
    <t>河南省通许县竖岗镇洼张村19号</t>
  </si>
  <si>
    <t>1F6-001</t>
  </si>
  <si>
    <t>2019-8-26</t>
  </si>
  <si>
    <t>2019-8-30</t>
  </si>
  <si>
    <t>A0131</t>
  </si>
  <si>
    <t>徐宗甫</t>
  </si>
  <si>
    <t>410105197806126127</t>
  </si>
  <si>
    <t>郑州市金水区柳林镇徐庄172号</t>
  </si>
  <si>
    <t>3F6-071</t>
  </si>
  <si>
    <t>2019-6-18</t>
  </si>
  <si>
    <t>2020-11-17</t>
  </si>
  <si>
    <t>原3F6-071调至此（原贺瑞兰更名）</t>
  </si>
  <si>
    <t>A0133</t>
  </si>
  <si>
    <t>朱军辉</t>
  </si>
  <si>
    <t>410104197508042041</t>
  </si>
  <si>
    <t>郑州市金水区柳林镇路砦村284号</t>
  </si>
  <si>
    <t>3F6-067</t>
  </si>
  <si>
    <t>2019-6-26</t>
  </si>
  <si>
    <t>A0134</t>
  </si>
  <si>
    <t>冯玉香</t>
  </si>
  <si>
    <t>411425198202037403</t>
  </si>
  <si>
    <t>郑州市中原区陇海西路169号附8号</t>
  </si>
  <si>
    <t>4FA-110</t>
  </si>
  <si>
    <t>2020-5-24</t>
  </si>
  <si>
    <t>A0135</t>
  </si>
  <si>
    <t>王德永</t>
  </si>
  <si>
    <t>412325196708071832</t>
  </si>
  <si>
    <t>河南省睢县西陵镇马河村107号</t>
  </si>
  <si>
    <t>1F8-161</t>
  </si>
  <si>
    <t>2019-11-30</t>
  </si>
  <si>
    <t>A0136</t>
  </si>
  <si>
    <t>赵芳</t>
  </si>
  <si>
    <t>41088319870601252X</t>
  </si>
  <si>
    <t>河南省孟州市大定办新城村一号</t>
  </si>
  <si>
    <t>1FA-052</t>
  </si>
  <si>
    <t>A0137</t>
  </si>
  <si>
    <t>韩良峰</t>
  </si>
  <si>
    <t>410105196509141094</t>
  </si>
  <si>
    <t>郑州市金水区纬五路47号</t>
  </si>
  <si>
    <t>1F8-097</t>
  </si>
  <si>
    <t>2019-11-6</t>
  </si>
  <si>
    <t>2020-7-5</t>
  </si>
  <si>
    <t>A0138-1</t>
  </si>
  <si>
    <t>于红</t>
  </si>
  <si>
    <t>'211022198003296906</t>
  </si>
  <si>
    <t>辽宁省灯塔市柳条寨镇北李大人村694号</t>
  </si>
  <si>
    <t>1F7-062</t>
  </si>
  <si>
    <t>八套房的中介费10060元</t>
  </si>
  <si>
    <t>A0138-2</t>
  </si>
  <si>
    <t>1F8-093</t>
  </si>
  <si>
    <t>A0138-3</t>
  </si>
  <si>
    <t>1F8-124</t>
  </si>
  <si>
    <t>A0138-4</t>
  </si>
  <si>
    <t>1F8-125</t>
  </si>
  <si>
    <t>A0138-5</t>
  </si>
  <si>
    <t>211022198003296906</t>
  </si>
  <si>
    <t>1F8-126</t>
  </si>
  <si>
    <t>2019-11-3</t>
  </si>
  <si>
    <t>恒祥实业；河北问道705084元</t>
  </si>
  <si>
    <t>A0138-6</t>
  </si>
  <si>
    <t>1F8-129</t>
  </si>
  <si>
    <t>A0138-7</t>
  </si>
  <si>
    <t>1F8-128</t>
  </si>
  <si>
    <t>A0138-8</t>
  </si>
  <si>
    <t>1F8-127</t>
  </si>
  <si>
    <t>A0139</t>
  </si>
  <si>
    <t>常宝</t>
  </si>
  <si>
    <t>411121197601250045</t>
  </si>
  <si>
    <t>郑州市金水区跃进路2号</t>
  </si>
  <si>
    <t>4FA-044</t>
  </si>
  <si>
    <t>2020-7-24</t>
  </si>
  <si>
    <t>A0141</t>
  </si>
  <si>
    <t>牛松生
李艳艳</t>
  </si>
  <si>
    <t>412921197905152019
410323198905115544</t>
  </si>
  <si>
    <t>郑州市高新技术开发区国槐街6号付1号</t>
  </si>
  <si>
    <t>1F7-068</t>
  </si>
  <si>
    <t>房款转给置业顾问，置业顾问帮忙刷卡付款</t>
  </si>
  <si>
    <t>恒祥实业（尾号1545）33.6万元，河北问道8.4万元</t>
  </si>
  <si>
    <t>A0142</t>
  </si>
  <si>
    <t>高小更</t>
  </si>
  <si>
    <t>410325197805050059</t>
  </si>
  <si>
    <t>河南嵩县田湖镇高屯村七组103号</t>
  </si>
  <si>
    <t>3F7-008</t>
  </si>
  <si>
    <t>2019-6-30</t>
  </si>
  <si>
    <t>A0143</t>
  </si>
  <si>
    <t>李美玲</t>
  </si>
  <si>
    <t>410102198003150022</t>
  </si>
  <si>
    <t>郑州市中原区航海西路办事处段庄村北街51号付1号</t>
  </si>
  <si>
    <t>3F6-052</t>
  </si>
  <si>
    <t>2020-5-29</t>
  </si>
  <si>
    <t>签28托管</t>
  </si>
  <si>
    <t>A0144</t>
  </si>
  <si>
    <t>吴永英</t>
  </si>
  <si>
    <t>411425197801029021</t>
  </si>
  <si>
    <t>河南省虞城县稍岗乡前吴村</t>
  </si>
  <si>
    <t>4F5-017</t>
  </si>
  <si>
    <t>2019-10-14</t>
  </si>
  <si>
    <t>2020-7-17</t>
  </si>
  <si>
    <t>A0145</t>
  </si>
  <si>
    <t>赵晓红</t>
  </si>
  <si>
    <t>411023196604047520</t>
  </si>
  <si>
    <t>河南省许昌市魏都区东大办事处东顺河街171号</t>
  </si>
  <si>
    <t>3F5-011</t>
  </si>
  <si>
    <t>A0147</t>
  </si>
  <si>
    <t>李均开</t>
  </si>
  <si>
    <t>412827197609033018</t>
  </si>
  <si>
    <t>河南省平舆县射桥镇古城村委后柴楼</t>
  </si>
  <si>
    <t>3F4-023</t>
  </si>
  <si>
    <t>2019-10-5</t>
  </si>
  <si>
    <t>2020-6-28</t>
  </si>
  <si>
    <t>A0148</t>
  </si>
  <si>
    <t>刘嘉琴</t>
  </si>
  <si>
    <t>510923198411213749</t>
  </si>
  <si>
    <t>四川省大英县蓬莱镇铁鼓街2号</t>
  </si>
  <si>
    <t>3F8-079</t>
  </si>
  <si>
    <t>恒祥实业284849元；河北问道70538元</t>
  </si>
  <si>
    <t>A0149</t>
  </si>
  <si>
    <t>谷雪洋</t>
  </si>
  <si>
    <t>411425199605100053</t>
  </si>
  <si>
    <t>郑州市惠济区古荥镇黄河南岸86号95号楼1单元11号</t>
  </si>
  <si>
    <t>15617888298</t>
  </si>
  <si>
    <t>4FA-152</t>
  </si>
  <si>
    <t>2018-12-11</t>
  </si>
  <si>
    <t>2018-12-16</t>
  </si>
  <si>
    <t>恒祥实业（兴业银行20万）</t>
  </si>
  <si>
    <t>A0150</t>
  </si>
  <si>
    <t>原琳颖</t>
  </si>
  <si>
    <t>410526198608188245</t>
  </si>
  <si>
    <t>郑州市金水区国基路168号院塞纳维斯一区2号楼25号</t>
  </si>
  <si>
    <t>3FB-151</t>
  </si>
  <si>
    <t>2018-12-13</t>
  </si>
  <si>
    <t>A0151</t>
  </si>
  <si>
    <t>付文林</t>
  </si>
  <si>
    <t>510623198809171132</t>
  </si>
  <si>
    <t>河南省濮阳市华龙区巴黎街轻工小区5号楼2单元3号</t>
  </si>
  <si>
    <t>4F9-038</t>
  </si>
  <si>
    <t>2019-5-21</t>
  </si>
  <si>
    <t>A0153</t>
  </si>
  <si>
    <t>赵菊红</t>
  </si>
  <si>
    <t>410504197510081564</t>
  </si>
  <si>
    <t>郑州市金水区庙张街2号1号楼1单元48号</t>
  </si>
  <si>
    <t>1F5-056</t>
  </si>
  <si>
    <t>2019-9-23</t>
  </si>
  <si>
    <t>A0154</t>
  </si>
  <si>
    <t>徐娜</t>
  </si>
  <si>
    <t>412823198009194845</t>
  </si>
  <si>
    <t>郑州市高新技术开发区五龙口南路9号院17号楼2单元17号</t>
  </si>
  <si>
    <t>4F4-016</t>
  </si>
  <si>
    <t>A0155</t>
  </si>
  <si>
    <t>姜国胜</t>
  </si>
  <si>
    <t>41072119860817052X</t>
  </si>
  <si>
    <t>河南省新乡市凤泉区大块镇小块村1090号</t>
  </si>
  <si>
    <t>13462287567</t>
  </si>
  <si>
    <t>3F9-045</t>
  </si>
  <si>
    <t>A0156</t>
  </si>
  <si>
    <t>左建云</t>
  </si>
  <si>
    <t>410184198409085042</t>
  </si>
  <si>
    <t>河南省新郑市观音寺镇唐户498号</t>
  </si>
  <si>
    <t>13526780919、13838278799</t>
  </si>
  <si>
    <t>4F1-100</t>
  </si>
  <si>
    <t>2019-7-13</t>
  </si>
  <si>
    <t>2019.6.20申请退款从4F10-009调至此</t>
  </si>
  <si>
    <t>A0158</t>
  </si>
  <si>
    <t>郑艳</t>
  </si>
  <si>
    <t>410725198111032506</t>
  </si>
  <si>
    <t>郑州市二七区侯寨乡侯寨村188号</t>
  </si>
  <si>
    <t>15736718888、15515832808</t>
  </si>
  <si>
    <t>3FB-162</t>
  </si>
  <si>
    <t>2019-1-31</t>
  </si>
  <si>
    <t>2019-2-21</t>
  </si>
  <si>
    <t>A0159</t>
  </si>
  <si>
    <t>李朵</t>
  </si>
  <si>
    <t>410103197807093723</t>
  </si>
  <si>
    <t>郑州市二七区中原东路78号院42号楼14号</t>
  </si>
  <si>
    <t>1F8-121</t>
  </si>
  <si>
    <t>2019-7-26</t>
  </si>
  <si>
    <t>2020-7-28</t>
  </si>
  <si>
    <t>恒祥实业651361元，问道16.1万</t>
  </si>
  <si>
    <t>A0160</t>
  </si>
  <si>
    <t>王保云</t>
  </si>
  <si>
    <t>'413026198101246325</t>
  </si>
  <si>
    <t>15803828078</t>
  </si>
  <si>
    <t>4F6-057</t>
  </si>
  <si>
    <t>A0161</t>
  </si>
  <si>
    <t>张国卿</t>
  </si>
  <si>
    <t>4F-153</t>
  </si>
  <si>
    <t>附商铺认购协议。销控表上查无此人，且未找到对应房源，但查询凭证后该款项公司已入账</t>
  </si>
  <si>
    <t>A0162</t>
  </si>
  <si>
    <t>闫金强
闫湘宇</t>
  </si>
  <si>
    <t>'413022197106223018</t>
  </si>
  <si>
    <t>15003893587</t>
  </si>
  <si>
    <t>1F8-157</t>
  </si>
  <si>
    <t>A0163</t>
  </si>
  <si>
    <t>王继荣</t>
  </si>
  <si>
    <t>410105196402254427</t>
  </si>
  <si>
    <t>郑州市中原区淮河路5号院14号楼5单元10号</t>
  </si>
  <si>
    <t>3F5-103</t>
  </si>
  <si>
    <t>2020-8-21</t>
  </si>
  <si>
    <t>A0164</t>
  </si>
  <si>
    <t>谢远见</t>
  </si>
  <si>
    <t>41022119881003302X</t>
  </si>
  <si>
    <t>河南省杞县坂木乡北村17号</t>
  </si>
  <si>
    <t>18137841339/15137136561</t>
  </si>
  <si>
    <t>3F6-037</t>
  </si>
  <si>
    <t>2019-4-14</t>
  </si>
  <si>
    <t>A0165</t>
  </si>
  <si>
    <t>王智敏</t>
  </si>
  <si>
    <t>410104197102125023</t>
  </si>
  <si>
    <t>郑州市管城回族区二里岗村附40号</t>
  </si>
  <si>
    <t>4FA-040</t>
  </si>
  <si>
    <t>2020-6-25</t>
  </si>
  <si>
    <t>A0166</t>
  </si>
  <si>
    <t>邢福贞</t>
  </si>
  <si>
    <t>410703196306080025</t>
  </si>
  <si>
    <t>郑州市金水区顺河路43号院55号楼37号</t>
  </si>
  <si>
    <t>4F1-053</t>
  </si>
  <si>
    <t>2019-4-18</t>
  </si>
  <si>
    <t>30601元pos小票上是恒祥实业，附的银行流水对应的是河北问道</t>
  </si>
  <si>
    <t>恒祥实业255410元；
河北问道30601元</t>
  </si>
  <si>
    <t>A0167</t>
  </si>
  <si>
    <t>李康清</t>
  </si>
  <si>
    <t>4F-152</t>
  </si>
  <si>
    <t>A0169</t>
  </si>
  <si>
    <t>姬生燕</t>
  </si>
  <si>
    <t>410726198209067041</t>
  </si>
  <si>
    <t>郑州市惠济区南阳路180号院17号楼3单元5号</t>
  </si>
  <si>
    <t>3F4-038</t>
  </si>
  <si>
    <t>2019-9-15</t>
  </si>
  <si>
    <t>A0171</t>
  </si>
  <si>
    <t>张秀荣</t>
  </si>
  <si>
    <t>410104196001153047</t>
  </si>
  <si>
    <t>郑州市管城回族区货栈街162号院8号楼78号</t>
  </si>
  <si>
    <t>4F4-063</t>
  </si>
  <si>
    <t>2019-4-20</t>
  </si>
  <si>
    <t>2019-5-28</t>
  </si>
  <si>
    <t>张秀荣去世，李保蔚申报</t>
  </si>
  <si>
    <t>A0176</t>
  </si>
  <si>
    <t>兰国欣</t>
  </si>
  <si>
    <t>412927197411074557</t>
  </si>
  <si>
    <t>1F8-096</t>
  </si>
  <si>
    <t>2019-11-11</t>
  </si>
  <si>
    <t>A0181</t>
  </si>
  <si>
    <t>胡建朋</t>
  </si>
  <si>
    <t>410105197908036616</t>
  </si>
  <si>
    <t>郑州市金水区蔡城镇西胡庄65号</t>
  </si>
  <si>
    <t>3F5-013</t>
  </si>
  <si>
    <t>2019-11-8</t>
  </si>
  <si>
    <t>2019-12-31</t>
  </si>
  <si>
    <t>恒祥实业(中国银行149727元）</t>
  </si>
  <si>
    <t>A0182</t>
  </si>
  <si>
    <t>李连杰</t>
  </si>
  <si>
    <t>411122197411205020</t>
  </si>
  <si>
    <t>郑州市金水区同乐路9号</t>
  </si>
  <si>
    <t>4F9-011</t>
  </si>
  <si>
    <t>2020-8-13</t>
  </si>
  <si>
    <t>A0183</t>
  </si>
  <si>
    <t>孙笑来</t>
  </si>
  <si>
    <t>210402198602210938</t>
  </si>
  <si>
    <t>郑州市二七区庆丰街17号院2号楼0单元1705室</t>
  </si>
  <si>
    <t>3F6-042</t>
  </si>
  <si>
    <t>A0185</t>
  </si>
  <si>
    <t>董晓萍</t>
  </si>
  <si>
    <t>410205196810301048</t>
  </si>
  <si>
    <t>郑州市金水区沙口路115号院1号楼1号</t>
  </si>
  <si>
    <t>3FB-150</t>
  </si>
  <si>
    <t>2018-12-03</t>
  </si>
  <si>
    <t>2019-3-11</t>
  </si>
  <si>
    <t>A0188</t>
  </si>
  <si>
    <t>尚晓艳</t>
  </si>
  <si>
    <t>41018219851222604X</t>
  </si>
  <si>
    <t>河南省新密市城关镇楚沟村尚寨70号</t>
  </si>
  <si>
    <t>4F4-087</t>
  </si>
  <si>
    <t>面积21.98实测25.8，补交29672,1677,550三张收据丢失，账面查询无，需补充后再认定</t>
  </si>
  <si>
    <t>申报324146元，其中29672、1677、550元收据丢失，且原销控表没有该数据</t>
  </si>
  <si>
    <t>A0189</t>
  </si>
  <si>
    <t>410105198301153335</t>
  </si>
  <si>
    <t>郑州市金水区金水路25号院1号楼8号</t>
  </si>
  <si>
    <t>18703692927</t>
  </si>
  <si>
    <t>4FA-083</t>
  </si>
  <si>
    <t>2018-11-30</t>
  </si>
  <si>
    <t>2020-5-23</t>
  </si>
  <si>
    <t>A0191</t>
  </si>
  <si>
    <t>狄冬梅
代长远</t>
  </si>
  <si>
    <t>410727197311021228</t>
  </si>
  <si>
    <t>河南省封丘县</t>
  </si>
  <si>
    <t>4F1-107</t>
  </si>
  <si>
    <t>2019-4-6</t>
  </si>
  <si>
    <t>2020-7-25</t>
  </si>
  <si>
    <t>A0194-1</t>
  </si>
  <si>
    <t>习明哲</t>
  </si>
  <si>
    <t>410107196507150715</t>
  </si>
  <si>
    <t>河南省新郑市人民路中段南侧府前小区2号楼3单元402号</t>
  </si>
  <si>
    <t>13937133668</t>
  </si>
  <si>
    <t>4FA-123</t>
  </si>
  <si>
    <t>A0194-2</t>
  </si>
  <si>
    <t>13937133668、15670603191</t>
  </si>
  <si>
    <t>4FA-118</t>
  </si>
  <si>
    <t>A0194-3</t>
  </si>
  <si>
    <t>A0195</t>
  </si>
  <si>
    <t>王海
刘小巧</t>
  </si>
  <si>
    <t>23212819840325023X</t>
  </si>
  <si>
    <t>河南省原阳县蒋庄乡王庄村9排3号</t>
  </si>
  <si>
    <t>1F8-172</t>
  </si>
  <si>
    <t>2019-8-18</t>
  </si>
  <si>
    <t>A0196</t>
  </si>
  <si>
    <t>张麦跟、付玉</t>
  </si>
  <si>
    <t>412801196405220016/41280119661020084X</t>
  </si>
  <si>
    <t>郑州市高新技术开发区银屏路115号院5号楼2单元74号</t>
  </si>
  <si>
    <t>13783715530/13939617371</t>
  </si>
  <si>
    <t>3F6-128</t>
  </si>
  <si>
    <t>2019-8-14</t>
  </si>
  <si>
    <t>2019-8-16</t>
  </si>
  <si>
    <t>收据不清晰，附银行流水363551元，比销控表多76元</t>
  </si>
  <si>
    <t>A0197</t>
  </si>
  <si>
    <t>张志刚</t>
  </si>
  <si>
    <t>410103197205181937</t>
  </si>
  <si>
    <t>郑州市经济技术开发区明湖办事处梁湖村150号</t>
  </si>
  <si>
    <t>4F9-027</t>
  </si>
  <si>
    <t>A0198</t>
  </si>
  <si>
    <t>张州</t>
  </si>
  <si>
    <t>410104198704170117</t>
  </si>
  <si>
    <t>郑州市管城回族区十八里河镇南小李庄569号</t>
  </si>
  <si>
    <t>3F6-013</t>
  </si>
  <si>
    <t>2019-5-8</t>
  </si>
  <si>
    <t>A0200</t>
  </si>
  <si>
    <t>周一</t>
  </si>
  <si>
    <t>410523200207119434</t>
  </si>
  <si>
    <t>郑州市中原区五厂四街49号楼4单元5号</t>
  </si>
  <si>
    <t>13526601463/13526884055</t>
  </si>
  <si>
    <t>2FB-149</t>
  </si>
  <si>
    <t>2019-2-25</t>
  </si>
  <si>
    <t>2019-2-26</t>
  </si>
  <si>
    <t>A0203</t>
  </si>
  <si>
    <t>贺蕊</t>
  </si>
  <si>
    <t>410225198308232926</t>
  </si>
  <si>
    <t>河南省兰考县堌阳镇西关村十三组</t>
  </si>
  <si>
    <t>1F8-155</t>
  </si>
  <si>
    <t>2019-9-3</t>
  </si>
  <si>
    <t>从1F8-154调房至此</t>
  </si>
  <si>
    <t>A0207</t>
  </si>
  <si>
    <t>412827198604096583</t>
  </si>
  <si>
    <t>河南省平舆县西洋店镇小伊村委付寨</t>
  </si>
  <si>
    <t>3FA-054</t>
  </si>
  <si>
    <t>2018-11-26</t>
  </si>
  <si>
    <t>A0209</t>
  </si>
  <si>
    <t>郝瑞霞</t>
  </si>
  <si>
    <t>410922198004300044</t>
  </si>
  <si>
    <t>河南省濮阳市华龙区胜利西路187号院</t>
  </si>
  <si>
    <t>4F5-027</t>
  </si>
  <si>
    <t>2019-10-4</t>
  </si>
  <si>
    <t>2020-7-12</t>
  </si>
  <si>
    <t>资料邮寄</t>
  </si>
  <si>
    <t>A0210</t>
  </si>
  <si>
    <t>杨翠林</t>
  </si>
  <si>
    <t>410702196308010016</t>
  </si>
  <si>
    <t>河南省新乡市卫滨区建国路147号</t>
  </si>
  <si>
    <t>4F9-005</t>
  </si>
  <si>
    <t>A0212</t>
  </si>
  <si>
    <t>程永兵</t>
  </si>
  <si>
    <t>370121197212227438</t>
  </si>
  <si>
    <t>郑州市二七区陇海中路62号院8号楼2单元27号</t>
  </si>
  <si>
    <t>1F7-067</t>
  </si>
  <si>
    <t>2020-7-26</t>
  </si>
  <si>
    <t>A0213</t>
  </si>
  <si>
    <t>张春凤</t>
  </si>
  <si>
    <t>412324196903100127</t>
  </si>
  <si>
    <t>郑州市金水区丰产路87号院1号楼23号</t>
  </si>
  <si>
    <t>1F8-046</t>
  </si>
  <si>
    <t>2019-7-3</t>
  </si>
  <si>
    <t>2019-7-6</t>
  </si>
  <si>
    <t>A0214</t>
  </si>
  <si>
    <t>张艺馨</t>
  </si>
  <si>
    <t>412324198004120053</t>
  </si>
  <si>
    <t>郑州市金水区郑汴路127号院8号楼2单元3002号</t>
  </si>
  <si>
    <t>1F8-144</t>
  </si>
  <si>
    <t>2019-7-20</t>
  </si>
  <si>
    <t>A0215</t>
  </si>
  <si>
    <t>李宸豪、刘婕玉</t>
  </si>
  <si>
    <t>410183201906140055/410182199308030324</t>
  </si>
  <si>
    <t>河南省新密市青屏街办事处开阳路北段28号院1号楼301号</t>
  </si>
  <si>
    <t>3F6-044</t>
  </si>
  <si>
    <t>2020-6-29</t>
  </si>
  <si>
    <t>A0217</t>
  </si>
  <si>
    <t>410182199203020771</t>
  </si>
  <si>
    <t>河南省新密市青屏街办事处文化西街8号楼105号</t>
  </si>
  <si>
    <t>4F3-025</t>
  </si>
  <si>
    <t>2019-6-20</t>
  </si>
  <si>
    <t>A0219</t>
  </si>
  <si>
    <t>秦勤</t>
  </si>
  <si>
    <t>412301198611134524</t>
  </si>
  <si>
    <t>郑州市金水区经北七路29号院2号楼65号</t>
  </si>
  <si>
    <t>3F2-002</t>
  </si>
  <si>
    <t>2019-4-16</t>
  </si>
  <si>
    <t>2020-11-27</t>
  </si>
  <si>
    <t>原3F2-002调至此</t>
  </si>
  <si>
    <t>A0220</t>
  </si>
  <si>
    <t>王廷江</t>
  </si>
  <si>
    <t>413023196904137319</t>
  </si>
  <si>
    <t>河南省信阳市浉河区李家寨镇万冲村</t>
  </si>
  <si>
    <t>3F1-091</t>
  </si>
  <si>
    <t>2019-4-26</t>
  </si>
  <si>
    <t>A0221</t>
  </si>
  <si>
    <t>张高生</t>
  </si>
  <si>
    <t>410105198508220099</t>
  </si>
  <si>
    <t>郑州市金水区红专路39号院1号楼20号</t>
  </si>
  <si>
    <t>4F2-024</t>
  </si>
  <si>
    <t>A0226</t>
  </si>
  <si>
    <t>刘驰</t>
  </si>
  <si>
    <t>410102197410014517</t>
  </si>
  <si>
    <t>郑州市中原区须水镇铁炉村北街</t>
  </si>
  <si>
    <t>3F8-069</t>
  </si>
  <si>
    <t>A0227</t>
  </si>
  <si>
    <t>冯艳杰</t>
  </si>
  <si>
    <t>411002197807146548</t>
  </si>
  <si>
    <t>河南省许昌市魏都区南环路办事处解放路4号附104号</t>
  </si>
  <si>
    <t>3F5-044</t>
  </si>
  <si>
    <t>2019-6-23</t>
  </si>
  <si>
    <t>19.11.9按揭改一次性，补款158004</t>
  </si>
  <si>
    <t>A0228</t>
  </si>
  <si>
    <t>张世杰</t>
  </si>
  <si>
    <t>412726198802096291</t>
  </si>
  <si>
    <t>河南省郸城县钱店镇张湾行政村张湾村092号</t>
  </si>
  <si>
    <t>3F9-050</t>
  </si>
  <si>
    <t>A0229</t>
  </si>
  <si>
    <t>王玉杰</t>
  </si>
  <si>
    <t>410711198108101082</t>
  </si>
  <si>
    <t>河南省新乡市红旗区金穗大道中399号4号楼2单元902室</t>
  </si>
  <si>
    <t>3F7-003</t>
  </si>
  <si>
    <t>2019-7-31</t>
  </si>
  <si>
    <t>2019-8-2</t>
  </si>
  <si>
    <t>A0231</t>
  </si>
  <si>
    <t>廖侠、陈和军</t>
  </si>
  <si>
    <t>410724196610080021、410704196706020015</t>
  </si>
  <si>
    <t>河南省获嘉县城区交通营5排4号</t>
  </si>
  <si>
    <t>18790688378/13569809430</t>
  </si>
  <si>
    <t>1F5-047</t>
  </si>
  <si>
    <t>2019-8-24</t>
  </si>
  <si>
    <t>2020-8-23</t>
  </si>
  <si>
    <t>由1F7-005调房至此</t>
  </si>
  <si>
    <t>A0232</t>
  </si>
  <si>
    <t>张学运</t>
  </si>
  <si>
    <t>411522199503066954</t>
  </si>
  <si>
    <t>河南省光山县泼坡镇蔡围孜村张小元</t>
  </si>
  <si>
    <t>3F6-099</t>
  </si>
  <si>
    <t>A0233</t>
  </si>
  <si>
    <t>李佩佩</t>
  </si>
  <si>
    <t>410105199604100040</t>
  </si>
  <si>
    <t>郑州市金水区红旗路60号院1号楼106号</t>
  </si>
  <si>
    <t>3F8-094</t>
  </si>
  <si>
    <t>2019-5-31</t>
  </si>
  <si>
    <t>A0235</t>
  </si>
  <si>
    <t>陈晓</t>
  </si>
  <si>
    <t>410183198309303018</t>
  </si>
  <si>
    <t>河南省荥阳市高村乡马沟村马沟北陈庄47号</t>
  </si>
  <si>
    <t>4F6-019</t>
  </si>
  <si>
    <t>2019-4-10</t>
  </si>
  <si>
    <t>A0236</t>
  </si>
  <si>
    <t>刘莉明</t>
  </si>
  <si>
    <t>41010519780218272X</t>
  </si>
  <si>
    <t>郑州市金水区文劳路3号院7号49号</t>
  </si>
  <si>
    <t>4F6-016</t>
  </si>
  <si>
    <t>A0237</t>
  </si>
  <si>
    <t>刘亚敏</t>
  </si>
  <si>
    <t>410122198908250023</t>
  </si>
  <si>
    <t>河南省中牟县郑庵镇徐庄村7号</t>
  </si>
  <si>
    <t>3F1-090</t>
  </si>
  <si>
    <t>2020.7.12刘书杰夫妻更名</t>
  </si>
  <si>
    <t>A0240</t>
  </si>
  <si>
    <t>牟志伟</t>
  </si>
  <si>
    <t>211322198110058539</t>
  </si>
  <si>
    <t>天津市西青区大寺镇大任庄村春光里任环路36号</t>
  </si>
  <si>
    <t>4F4-086</t>
  </si>
  <si>
    <t>A0241</t>
  </si>
  <si>
    <t>薛秋云</t>
  </si>
  <si>
    <t>410104198107181520</t>
  </si>
  <si>
    <t>郑州市金水区花园路150号院7号楼6号</t>
  </si>
  <si>
    <t>3F6-082</t>
  </si>
  <si>
    <t>恒祥217301、问道53033</t>
  </si>
  <si>
    <t>A0243</t>
  </si>
  <si>
    <t>许敏洁</t>
  </si>
  <si>
    <t>410802198207122048</t>
  </si>
  <si>
    <t>郑州市二七区一马路80号</t>
  </si>
  <si>
    <t>4450</t>
  </si>
  <si>
    <t>4F1-105</t>
  </si>
  <si>
    <t>2020-9-19</t>
  </si>
  <si>
    <t>由444调房至此</t>
  </si>
  <si>
    <t>恒祥118471、问道26175</t>
  </si>
  <si>
    <t>A0244</t>
  </si>
  <si>
    <t>孟瑞丽</t>
  </si>
  <si>
    <t>410102197203290025</t>
  </si>
  <si>
    <t>郑州市中原西路199号13号楼2单元</t>
  </si>
  <si>
    <t>3F9-018</t>
  </si>
  <si>
    <t>2019-8-10</t>
  </si>
  <si>
    <t>左东海更</t>
  </si>
  <si>
    <t>A0245</t>
  </si>
  <si>
    <t>王亭民</t>
  </si>
  <si>
    <t>652901196412100813</t>
  </si>
  <si>
    <t>新疆阿克苏市新城街道解放中路38号2号楼3单元1102室</t>
  </si>
  <si>
    <t>1FA-049</t>
  </si>
  <si>
    <t>2020-8-27</t>
  </si>
  <si>
    <t>A0246</t>
  </si>
  <si>
    <t>靳鹏</t>
  </si>
  <si>
    <t>410104197912100012</t>
  </si>
  <si>
    <t>郑州市管城回族区东大街290号附8号</t>
  </si>
  <si>
    <t>3F10-049</t>
  </si>
  <si>
    <t>2020-1-2</t>
  </si>
  <si>
    <t>2020-1-6</t>
  </si>
  <si>
    <t>A0247</t>
  </si>
  <si>
    <t>杜艳梅</t>
  </si>
  <si>
    <t>410224198112180267</t>
  </si>
  <si>
    <t>郑州市金水区鑫苑路26号院22号楼1单元42号</t>
  </si>
  <si>
    <t>1F8-132</t>
  </si>
  <si>
    <t>2019-7-27</t>
  </si>
  <si>
    <t>A0249</t>
  </si>
  <si>
    <t>范应森</t>
  </si>
  <si>
    <t>410112196412200039</t>
  </si>
  <si>
    <t>郑州市金水区文化路48号院17号楼10号</t>
  </si>
  <si>
    <t>3F9-035</t>
  </si>
  <si>
    <t>2019-10-31</t>
  </si>
  <si>
    <t>POS及微信</t>
  </si>
  <si>
    <t>恒祥215614、问道83705</t>
  </si>
  <si>
    <t>A0250</t>
  </si>
  <si>
    <t>程鑫</t>
  </si>
  <si>
    <t>372330199011221556</t>
  </si>
  <si>
    <t>山东省淄博市张店区西一路76号院1号楼1单元401号</t>
  </si>
  <si>
    <t>3F5-058</t>
  </si>
  <si>
    <t>A0251</t>
  </si>
  <si>
    <t>赵士杰</t>
  </si>
  <si>
    <t>410727198302126516</t>
  </si>
  <si>
    <t>河南省封丘县留光镇留光村经一路300号</t>
  </si>
  <si>
    <t>3F8-007</t>
  </si>
  <si>
    <t>2020-6-2</t>
  </si>
  <si>
    <t>A0252</t>
  </si>
  <si>
    <t>周蕾</t>
  </si>
  <si>
    <t>410184198905060047</t>
  </si>
  <si>
    <t>河南省新郑市新华办中华南路南段东侧667号</t>
  </si>
  <si>
    <t>1F7-090</t>
  </si>
  <si>
    <t>A0253-1</t>
  </si>
  <si>
    <t>申红太</t>
  </si>
  <si>
    <t>410521196504197533</t>
  </si>
  <si>
    <t>郑州市金水区国基路102号院27号楼</t>
  </si>
  <si>
    <t>4F5-052</t>
  </si>
  <si>
    <t>2019-10-6</t>
  </si>
  <si>
    <t>2019-10-11</t>
  </si>
  <si>
    <t>恒祥399322、问道104074</t>
  </si>
  <si>
    <t>A0253-2</t>
  </si>
  <si>
    <t>4F5-051</t>
  </si>
  <si>
    <t>A0254</t>
  </si>
  <si>
    <t>张改丽</t>
  </si>
  <si>
    <t>411024198601286281</t>
  </si>
  <si>
    <t>河南省鄢陵县柏梁镇黄南村7组</t>
  </si>
  <si>
    <t>1F8-011</t>
  </si>
  <si>
    <t>2019-8-28</t>
  </si>
  <si>
    <t>A0256</t>
  </si>
  <si>
    <t>史趁先</t>
  </si>
  <si>
    <t>410704196410230042</t>
  </si>
  <si>
    <t>郑州市管城回族区北乾元街53号院10号楼3单元25号</t>
  </si>
  <si>
    <t>3F5-001</t>
  </si>
  <si>
    <t>恒祥实业273965、问道104134</t>
  </si>
  <si>
    <t>A0257</t>
  </si>
  <si>
    <t>马俊萍</t>
  </si>
  <si>
    <t>130423198404203341</t>
  </si>
  <si>
    <t>郑州市金水区经七路15号院附4号10号楼102号</t>
  </si>
  <si>
    <t>1F7-105</t>
  </si>
  <si>
    <t>2019-5-25</t>
  </si>
  <si>
    <t>A0258</t>
  </si>
  <si>
    <t>张玉娟</t>
  </si>
  <si>
    <t>410103198110091941</t>
  </si>
  <si>
    <t>郑州市二七区永安街23号院1号楼3号</t>
  </si>
  <si>
    <t>2FA-011</t>
  </si>
  <si>
    <t>A0259</t>
  </si>
  <si>
    <t>宋黎霞</t>
  </si>
  <si>
    <t>410782198008270044</t>
  </si>
  <si>
    <t>郑州市惠济区兴隆铺路9号附1号8号楼2单元19号</t>
  </si>
  <si>
    <t>4F5-031</t>
  </si>
  <si>
    <t>2019-10-16</t>
  </si>
  <si>
    <t>A0260</t>
  </si>
  <si>
    <t>马振丽</t>
  </si>
  <si>
    <t>410105198411230063</t>
  </si>
  <si>
    <t>郑州市金水区十二里屯村260号</t>
  </si>
  <si>
    <t>155</t>
  </si>
  <si>
    <t>1F2-056</t>
  </si>
  <si>
    <t>由177调房至此</t>
  </si>
  <si>
    <t>A0261</t>
  </si>
  <si>
    <t>连红霞</t>
  </si>
  <si>
    <t>410102196903131725</t>
  </si>
  <si>
    <t>郑州市二七区京广路办事处冯庄村中街48号附1号</t>
  </si>
  <si>
    <t>1F8-064</t>
  </si>
  <si>
    <t>2019-6-5</t>
  </si>
  <si>
    <t>A0263</t>
  </si>
  <si>
    <t>王统海</t>
  </si>
  <si>
    <t>410728196912241594</t>
  </si>
  <si>
    <t>河南省长垣县魏庄镇魏庄村00021号</t>
  </si>
  <si>
    <t>1F8-068</t>
  </si>
  <si>
    <t>A0264</t>
  </si>
  <si>
    <t>贾利</t>
  </si>
  <si>
    <t>41072819731209752X</t>
  </si>
  <si>
    <t>河南省长垣县蒲西区城关家属院</t>
  </si>
  <si>
    <t>13938766516/15137336588</t>
  </si>
  <si>
    <t>4F5-042</t>
  </si>
  <si>
    <t>A0265</t>
  </si>
  <si>
    <t>王佳</t>
  </si>
  <si>
    <t>410728197501260049</t>
  </si>
  <si>
    <t>广东省深圳市宝安区福永兴益路凤凰花苑1栋A座2301</t>
  </si>
  <si>
    <t>1F5-054</t>
  </si>
  <si>
    <t>2019-11-23</t>
  </si>
  <si>
    <t>A0266</t>
  </si>
  <si>
    <t>李珍丽</t>
  </si>
  <si>
    <t>411424198708286240</t>
  </si>
  <si>
    <t>郑州市金水区鑫苑西路6号院23号楼35号</t>
  </si>
  <si>
    <t>3F1-092</t>
  </si>
  <si>
    <t>2019-4-23</t>
  </si>
  <si>
    <t>A0267</t>
  </si>
  <si>
    <t>黄超众</t>
  </si>
  <si>
    <t>413022196910174531</t>
  </si>
  <si>
    <t>河南省淮滨新县里镇黄李寨村六组</t>
  </si>
  <si>
    <t>1F2-048</t>
  </si>
  <si>
    <t>2019-4-9</t>
  </si>
  <si>
    <t>2019-4-11</t>
  </si>
  <si>
    <t>A0269</t>
  </si>
  <si>
    <t>刁旭</t>
  </si>
  <si>
    <t>411303198206010028</t>
  </si>
  <si>
    <t>郑州市二七区嵩山南路9号</t>
  </si>
  <si>
    <t>4F9-034</t>
  </si>
  <si>
    <t>付实业28186元有流水，账面计入付文林房款中，且付文林已申报该金额</t>
  </si>
  <si>
    <t>恒祥实业244093+28186、问道27121</t>
  </si>
  <si>
    <t>A0271</t>
  </si>
  <si>
    <t>马韶萍</t>
  </si>
  <si>
    <t>410181198702100089</t>
  </si>
  <si>
    <t>河南省巩义市米河镇米北村二岭沟37号</t>
  </si>
  <si>
    <t>13083811007/15537309097</t>
  </si>
  <si>
    <t>4FA-034</t>
  </si>
  <si>
    <t>A0272</t>
  </si>
  <si>
    <t>王素艳</t>
  </si>
  <si>
    <t>15232619810821482X</t>
  </si>
  <si>
    <t>郑州市中原区中原西路137号院66号楼1单元701号</t>
  </si>
  <si>
    <t>3F8-010</t>
  </si>
  <si>
    <t>从3F8-001调至此</t>
  </si>
  <si>
    <t>A0273</t>
  </si>
  <si>
    <t>李默慧</t>
  </si>
  <si>
    <t>410422197910155000</t>
  </si>
  <si>
    <t>郑州市金水区十二里屯村18号</t>
  </si>
  <si>
    <t>13526847099/18837587112、18837159972</t>
  </si>
  <si>
    <t>4FA-058</t>
  </si>
  <si>
    <t>2020-5-25</t>
  </si>
  <si>
    <t>A0274</t>
  </si>
  <si>
    <t>苏翠丽</t>
  </si>
  <si>
    <t>412724198904202961</t>
  </si>
  <si>
    <t>河南省新郑市龙湖镇滨湖路99号院27号楼1单元1803号</t>
  </si>
  <si>
    <t>2FA-078</t>
  </si>
  <si>
    <t>2020-6-6</t>
  </si>
  <si>
    <t>A0276</t>
  </si>
  <si>
    <t>410225199101070923</t>
  </si>
  <si>
    <t>郑州市中原区汝河路156号院12号楼1单元1808号</t>
  </si>
  <si>
    <t>3F8-019</t>
  </si>
  <si>
    <t>A0277</t>
  </si>
  <si>
    <t>韩雪岩</t>
  </si>
  <si>
    <t>410102199012140090</t>
  </si>
  <si>
    <t>郑州市金水区东明路北173号院1号楼67号</t>
  </si>
  <si>
    <t>4F6-008</t>
  </si>
  <si>
    <t>A0279</t>
  </si>
  <si>
    <t>贺志周</t>
  </si>
  <si>
    <t>410124196303301514</t>
  </si>
  <si>
    <t>河南省巩义市大峪沟镇董陵村东沟8号</t>
  </si>
  <si>
    <t>4F9-020</t>
  </si>
  <si>
    <t>2020-6-8</t>
  </si>
  <si>
    <t>A0280</t>
  </si>
  <si>
    <t>万璐</t>
  </si>
  <si>
    <t>410105197707023325</t>
  </si>
  <si>
    <t>郑州市金水区石桥街4号院1号楼19号</t>
  </si>
  <si>
    <t>4F9-028</t>
  </si>
  <si>
    <t>2019-5-18</t>
  </si>
  <si>
    <t>A0281</t>
  </si>
  <si>
    <t>张改强</t>
  </si>
  <si>
    <t>410326197811263719</t>
  </si>
  <si>
    <t>河南省汝阳县三屯乡郭庄村1组</t>
  </si>
  <si>
    <t>3F7-001</t>
  </si>
  <si>
    <t>2019-7-16</t>
  </si>
  <si>
    <t>A0282</t>
  </si>
  <si>
    <t>陈龙飞</t>
  </si>
  <si>
    <t>410105198901010338</t>
  </si>
  <si>
    <t>郑州市管城回族区陇海北二街88号院2号楼2单元10号</t>
  </si>
  <si>
    <t>483</t>
  </si>
  <si>
    <t>4F6-058</t>
  </si>
  <si>
    <t>2020-9-13</t>
  </si>
  <si>
    <t>由4500调房至此</t>
  </si>
  <si>
    <t>A0283</t>
  </si>
  <si>
    <t>刘中宙</t>
  </si>
  <si>
    <t>410103195908201915</t>
  </si>
  <si>
    <t>管城区十八里河镇十八里河村598号院6单元</t>
  </si>
  <si>
    <t>3F8-039</t>
  </si>
  <si>
    <t>A0284</t>
  </si>
  <si>
    <t>张利霞</t>
  </si>
  <si>
    <t>410105198103303320</t>
  </si>
  <si>
    <t>郑州市管城回族区新郑路216号院2号楼26号</t>
  </si>
  <si>
    <t>4FA-041</t>
  </si>
  <si>
    <t>2020-8-9</t>
  </si>
  <si>
    <t>A0285</t>
  </si>
  <si>
    <t>杨建</t>
  </si>
  <si>
    <t>412321198104218710</t>
  </si>
  <si>
    <t>郑州市二七区建云街11号院5号楼17号</t>
  </si>
  <si>
    <t>2019-10-19</t>
  </si>
  <si>
    <t>2020-9-4</t>
  </si>
  <si>
    <t>A0288</t>
  </si>
  <si>
    <t>李月</t>
  </si>
  <si>
    <t>410725198805114821</t>
  </si>
  <si>
    <t>河南省原阳县韩董庄镇孔庄南一排5号</t>
  </si>
  <si>
    <t>3F5-025</t>
  </si>
  <si>
    <t>A0289</t>
  </si>
  <si>
    <t>任芳张凡</t>
  </si>
  <si>
    <t>41010219840604008X</t>
  </si>
  <si>
    <t>郑州市高新技术开发区沟赵乡张五砦村152号附2号</t>
  </si>
  <si>
    <t>3F4-070</t>
  </si>
  <si>
    <t>2019-11-4</t>
  </si>
  <si>
    <t>2019-11-10</t>
  </si>
  <si>
    <t>A0291</t>
  </si>
  <si>
    <t>赵书红</t>
  </si>
  <si>
    <t>41011219680823004X</t>
  </si>
  <si>
    <t>郑州市中原区须水镇牛马坑村45号</t>
  </si>
  <si>
    <t>3F8-063</t>
  </si>
  <si>
    <t>2020-6-3</t>
  </si>
  <si>
    <t>A0292</t>
  </si>
  <si>
    <t>郑玉良</t>
  </si>
  <si>
    <t>411121196307210013</t>
  </si>
  <si>
    <t>河南省舞阳县舞泉镇康平东路14号</t>
  </si>
  <si>
    <t>13503957265/13213098160</t>
  </si>
  <si>
    <t>2FA-096</t>
  </si>
  <si>
    <t>2018-11-28</t>
  </si>
  <si>
    <t>2018-12-05</t>
  </si>
  <si>
    <t>邮寄资料</t>
  </si>
  <si>
    <t>A0293</t>
  </si>
  <si>
    <t>李杰
李豪</t>
  </si>
  <si>
    <t>410123196807070610 410184199410030035</t>
  </si>
  <si>
    <t>河南省新郑市新建办北大街47号院2号</t>
  </si>
  <si>
    <t>13838104102 17788109215</t>
  </si>
  <si>
    <t>3F1-079</t>
  </si>
  <si>
    <t>2019-5-2</t>
  </si>
  <si>
    <t>A0296</t>
  </si>
  <si>
    <t>韦玉梅</t>
  </si>
  <si>
    <t>410725198808042042</t>
  </si>
  <si>
    <t>河南省原阳县陡门乡韦城村中区四街40号</t>
  </si>
  <si>
    <t>13523410593</t>
  </si>
  <si>
    <t>3FB-152</t>
  </si>
  <si>
    <t>2018-12-2</t>
  </si>
  <si>
    <t>A0297</t>
  </si>
  <si>
    <t>赵研</t>
  </si>
  <si>
    <t>411081198701179173</t>
  </si>
  <si>
    <t>河南省禹州市颖川西路饮食服务公司家属院</t>
  </si>
  <si>
    <t>3F8-002</t>
  </si>
  <si>
    <t>A0300-1</t>
  </si>
  <si>
    <t>刘沛君</t>
  </si>
  <si>
    <t>410105199505130148</t>
  </si>
  <si>
    <t>郑州市金水区优胜南路4号院4号楼18号</t>
  </si>
  <si>
    <t>13937179081</t>
  </si>
  <si>
    <t>4FA-154</t>
  </si>
  <si>
    <t>A0300-2</t>
  </si>
  <si>
    <t>A0302</t>
  </si>
  <si>
    <t>李小星</t>
  </si>
  <si>
    <t>410185198501193528</t>
  </si>
  <si>
    <t>河南省登封市宣化镇山沟村西沟323号</t>
  </si>
  <si>
    <t>4F1-027</t>
  </si>
  <si>
    <t>A0303</t>
  </si>
  <si>
    <t>佘松</t>
  </si>
  <si>
    <t>410901199002134014</t>
  </si>
  <si>
    <t>4FA-033</t>
  </si>
  <si>
    <t>A0304</t>
  </si>
  <si>
    <t>闫汗青</t>
  </si>
  <si>
    <t>412828198610106393</t>
  </si>
  <si>
    <t>郑州市中原区陇海西路169号附4号</t>
  </si>
  <si>
    <t>1F7-032</t>
  </si>
  <si>
    <t>2019-6-21</t>
  </si>
  <si>
    <t>A0305</t>
  </si>
  <si>
    <t>李长征</t>
  </si>
  <si>
    <t>412724198207261130</t>
  </si>
  <si>
    <t>河南省太康县王集乡东轩行政村许庄</t>
  </si>
  <si>
    <t>15038229598/13213109068</t>
  </si>
  <si>
    <t>3FB-104</t>
  </si>
  <si>
    <t>2019-1-5</t>
  </si>
  <si>
    <t>A0306</t>
  </si>
  <si>
    <t>陈葡萄</t>
  </si>
  <si>
    <t>412829197912016424</t>
  </si>
  <si>
    <t>郑州市金水区南阳路68号院41号楼133号</t>
  </si>
  <si>
    <t>3F7-014</t>
  </si>
  <si>
    <t>2020-9-27</t>
  </si>
  <si>
    <t>A0307</t>
  </si>
  <si>
    <t>张伟刚
李焕利</t>
  </si>
  <si>
    <t>410923198012192414
410923198204082447</t>
  </si>
  <si>
    <t>河南省南乐县梁村乡后翟村村东北街81号</t>
  </si>
  <si>
    <t>3F1-058</t>
  </si>
  <si>
    <t>2019-5-5</t>
  </si>
  <si>
    <t>A0308</t>
  </si>
  <si>
    <t>李沛凌</t>
  </si>
  <si>
    <t>41010420040428004X</t>
  </si>
  <si>
    <t>郑州市二七区嵩山南路103号院9号楼3101号</t>
  </si>
  <si>
    <t>13938276184</t>
  </si>
  <si>
    <t>4FA-114</t>
  </si>
  <si>
    <t>2018-11-23</t>
  </si>
  <si>
    <t>2020-8-19</t>
  </si>
  <si>
    <t>A0311</t>
  </si>
  <si>
    <t>孙勇
孙丽娟</t>
  </si>
  <si>
    <t>410102197608124519
410102198003284522</t>
  </si>
  <si>
    <t>郑州市中原区须水镇圈李村南街100号</t>
  </si>
  <si>
    <t>4F4-055</t>
  </si>
  <si>
    <t>宋飞燕</t>
  </si>
  <si>
    <t>POS、现金</t>
  </si>
  <si>
    <t>A0312-1</t>
  </si>
  <si>
    <t>谷瑜</t>
  </si>
  <si>
    <t>410102198701300024</t>
  </si>
  <si>
    <t>广州市黄埔区黄埔东路633号大院10号1104房</t>
  </si>
  <si>
    <t>3F8-105</t>
  </si>
  <si>
    <t>2019-5-29</t>
  </si>
  <si>
    <t>2020-7-21</t>
  </si>
  <si>
    <t>A0312-2</t>
  </si>
  <si>
    <t>工广州市黄埔区黄埔东路633号大院10号楼1104房</t>
  </si>
  <si>
    <t>4F9-016</t>
  </si>
  <si>
    <t>A0313</t>
  </si>
  <si>
    <t>高宏阳</t>
  </si>
  <si>
    <t>４１０９２２１９８９０２２５００３４</t>
  </si>
  <si>
    <t>郑州市中原区陇海西路169号附11号</t>
  </si>
  <si>
    <t>2FA-028</t>
  </si>
  <si>
    <t>A0314-1</t>
  </si>
  <si>
    <t>谷毅</t>
  </si>
  <si>
    <t>41010219800121001X</t>
  </si>
  <si>
    <t>郑州市中原区西十里铺南路10号院13号楼49号</t>
  </si>
  <si>
    <t>1F7-094</t>
  </si>
  <si>
    <t>A0314-2</t>
  </si>
  <si>
    <t>4F10-008</t>
  </si>
  <si>
    <t>A0314-3</t>
  </si>
  <si>
    <t>3F6-094</t>
  </si>
  <si>
    <t>A0315</t>
  </si>
  <si>
    <t>张博</t>
  </si>
  <si>
    <t>410105199205110153</t>
  </si>
  <si>
    <t>郑州市金水区生产路6号5号楼55号</t>
  </si>
  <si>
    <t>3F6-035</t>
  </si>
  <si>
    <t>2019-6-8</t>
  </si>
  <si>
    <t>2020-7-30</t>
  </si>
  <si>
    <t>A0316</t>
  </si>
  <si>
    <t>顾培旭</t>
  </si>
  <si>
    <t>411081197311099093</t>
  </si>
  <si>
    <t xml:space="preserve">    </t>
  </si>
  <si>
    <t>1F2-058</t>
  </si>
  <si>
    <t>2019-4-22</t>
  </si>
  <si>
    <t>A0317</t>
  </si>
  <si>
    <t>张建军</t>
  </si>
  <si>
    <t>410728196511150114</t>
  </si>
  <si>
    <t>河南省长垣县浦东区孔场村一组</t>
  </si>
  <si>
    <t>1FA-038</t>
  </si>
  <si>
    <t>2020-5-20</t>
  </si>
  <si>
    <t>1148调房</t>
  </si>
  <si>
    <t>A0318</t>
  </si>
  <si>
    <t>何英</t>
  </si>
  <si>
    <t>412301196906160608</t>
  </si>
  <si>
    <t>郑州市金水区优胜南路3号院4号楼32号</t>
  </si>
  <si>
    <t>3F7-013</t>
  </si>
  <si>
    <t>2019-5-9</t>
  </si>
  <si>
    <t>A0319</t>
  </si>
  <si>
    <t>王婧</t>
  </si>
  <si>
    <t>410105198508270061</t>
  </si>
  <si>
    <t>郑州市金水区纬二路26号院21号楼7号</t>
  </si>
  <si>
    <t>18039554217/13837177120</t>
  </si>
  <si>
    <t>1F8-041</t>
  </si>
  <si>
    <t>A0320</t>
  </si>
  <si>
    <t>王巧梅</t>
  </si>
  <si>
    <t>410225197608242929</t>
  </si>
  <si>
    <t>河南省兰考县红庙镇后孔庄村五组</t>
  </si>
  <si>
    <t>4F4-008</t>
  </si>
  <si>
    <t>2019-4-8</t>
  </si>
  <si>
    <t>A0322</t>
  </si>
  <si>
    <t>阎丽敏</t>
  </si>
  <si>
    <t>410102198003055025</t>
  </si>
  <si>
    <t>郑州市中原区航海西路办事处段庄村北街023号</t>
  </si>
  <si>
    <t>3F7-110</t>
  </si>
  <si>
    <t>2020-5-15</t>
  </si>
  <si>
    <t>A0326</t>
  </si>
  <si>
    <t>连贵祥</t>
  </si>
  <si>
    <t>410422199502189139</t>
  </si>
  <si>
    <t>河南省叶县叶邑镇杜庄史庄243号</t>
  </si>
  <si>
    <t>3F8-026</t>
  </si>
  <si>
    <t>A0327</t>
  </si>
  <si>
    <t>李昊良</t>
  </si>
  <si>
    <t>411329200004080056</t>
  </si>
  <si>
    <t>郑州市农业路19号院29号楼36号</t>
  </si>
  <si>
    <t>1FA-044</t>
  </si>
  <si>
    <t>2018-11-21</t>
  </si>
  <si>
    <t>多收客户18块钱</t>
  </si>
  <si>
    <t>A0329</t>
  </si>
  <si>
    <t>岳贵香</t>
  </si>
  <si>
    <t>410104198012225041</t>
  </si>
  <si>
    <t>郑州市管城区航海东路办事处耿庄村</t>
  </si>
  <si>
    <t>3F2-016</t>
  </si>
  <si>
    <t>A0331</t>
  </si>
  <si>
    <t>宋晓延</t>
  </si>
  <si>
    <t>410426198203111017</t>
  </si>
  <si>
    <t>河南省襄城县王洛镇北宋庄村</t>
  </si>
  <si>
    <t>4F9-001</t>
  </si>
  <si>
    <t>A0332</t>
  </si>
  <si>
    <t>赵霞</t>
  </si>
  <si>
    <t>411326198302100087</t>
  </si>
  <si>
    <t>二七区政通路66号院7号楼504号</t>
  </si>
  <si>
    <t>13676939871
18539960298</t>
  </si>
  <si>
    <t>4F6-056</t>
  </si>
  <si>
    <t>A0334</t>
  </si>
  <si>
    <t>何京利</t>
  </si>
  <si>
    <t>412726198610090469</t>
  </si>
  <si>
    <t>郑州市二七区丹枫路7号院8号楼106号</t>
  </si>
  <si>
    <t>3FA-048</t>
  </si>
  <si>
    <t>2018-11-16</t>
  </si>
  <si>
    <t>A0335</t>
  </si>
  <si>
    <t>朱东方</t>
  </si>
  <si>
    <t>410223198603074016</t>
  </si>
  <si>
    <t>河南省尉氏县蔡庄镇西街村第一组</t>
  </si>
  <si>
    <t>4F4-033</t>
  </si>
  <si>
    <t>2019-8-19</t>
  </si>
  <si>
    <t>A0336</t>
  </si>
  <si>
    <t>张琳琳</t>
  </si>
  <si>
    <t>411023198508207028</t>
  </si>
  <si>
    <t>河南省许昌县蒋李集镇菜孙村</t>
  </si>
  <si>
    <t>1F8-165</t>
  </si>
  <si>
    <t>A0337</t>
  </si>
  <si>
    <t>千艳霞</t>
  </si>
  <si>
    <t>41082319830322082X</t>
  </si>
  <si>
    <t>郑州市惠济区同乐小区21号楼15号</t>
  </si>
  <si>
    <t>4F6-024</t>
  </si>
  <si>
    <t>A0338</t>
  </si>
  <si>
    <t>薛卫霞</t>
  </si>
  <si>
    <t>412827198309199029</t>
  </si>
  <si>
    <t>河南省平舆县清河街道办事处大冯十对69户</t>
  </si>
  <si>
    <t>3F8-092</t>
  </si>
  <si>
    <t>A0339</t>
  </si>
  <si>
    <t>贺喜超</t>
  </si>
  <si>
    <t>410102199406060181</t>
  </si>
  <si>
    <t>郑州市高新技术开发区沟赵乡榆林村330号</t>
  </si>
  <si>
    <t>3F7-007</t>
  </si>
  <si>
    <t>2019-5-30</t>
  </si>
  <si>
    <t>A0340</t>
  </si>
  <si>
    <t>薛越仁</t>
  </si>
  <si>
    <t>410181198308216024/410811201607100017</t>
  </si>
  <si>
    <t>河南省巩义市西村镇西村村东地112号</t>
  </si>
  <si>
    <t>4F9-004</t>
  </si>
  <si>
    <t>2020-7-15</t>
  </si>
  <si>
    <t>A0341</t>
  </si>
  <si>
    <t>彭洁</t>
  </si>
  <si>
    <t>411481199210103381</t>
  </si>
  <si>
    <t>郑州市金水区金水东路39号附2号</t>
  </si>
  <si>
    <t>3F7-109</t>
  </si>
  <si>
    <t>无商品房买卖合同</t>
  </si>
  <si>
    <t>A0342</t>
  </si>
  <si>
    <t>刘红春</t>
  </si>
  <si>
    <t>410105197002270529</t>
  </si>
  <si>
    <t>郑州市金水区花园路85号院2号楼4号</t>
  </si>
  <si>
    <t>4F5-056 4F5-026</t>
  </si>
  <si>
    <t xml:space="preserve">8.4 7.38 </t>
  </si>
  <si>
    <t>马文华已退完</t>
  </si>
  <si>
    <t>A0343</t>
  </si>
  <si>
    <t>冯晓雨</t>
  </si>
  <si>
    <t>411081198704025356</t>
  </si>
  <si>
    <t>河南省禹州市浅井乡麻地川村7组</t>
  </si>
  <si>
    <t>18939502202/13633866647</t>
  </si>
  <si>
    <t>3F5-094</t>
  </si>
  <si>
    <t>A0345</t>
  </si>
  <si>
    <t>王帅兵</t>
  </si>
  <si>
    <t>410425199002165551</t>
  </si>
  <si>
    <t>河南省郏县堂街镇孟庄村2</t>
  </si>
  <si>
    <t>18749187857</t>
  </si>
  <si>
    <t>4FC-070</t>
  </si>
  <si>
    <t>2019-1-11</t>
  </si>
  <si>
    <t>2019-2-22</t>
  </si>
  <si>
    <t>822491070131556</t>
  </si>
  <si>
    <t>A0346</t>
  </si>
  <si>
    <t>林志成</t>
  </si>
  <si>
    <t>350301199103021116</t>
  </si>
  <si>
    <t>福建省莆田市城厢区灵川镇东进村东汾120号</t>
  </si>
  <si>
    <t>4FA-046</t>
  </si>
  <si>
    <t>A0347</t>
  </si>
  <si>
    <t>陈新生</t>
  </si>
  <si>
    <t>411122197211298031</t>
  </si>
  <si>
    <t>郑州市二七区新兴街14号楼12号</t>
  </si>
  <si>
    <t>3FA-057</t>
  </si>
  <si>
    <t>A0348</t>
  </si>
  <si>
    <t>洪艳琴</t>
  </si>
  <si>
    <t>412323197807150247</t>
  </si>
  <si>
    <t>河南省民权县绿洲街道办事处庄周大道西段</t>
  </si>
  <si>
    <t>3F1-118</t>
  </si>
  <si>
    <t>2019-6-17</t>
  </si>
  <si>
    <t>A0350-1</t>
  </si>
  <si>
    <t>412323197808290022</t>
  </si>
  <si>
    <t>郑州市金水区沙口路120号院阳光社区1号</t>
  </si>
  <si>
    <t>3F1-116</t>
  </si>
  <si>
    <t>A0350-2</t>
  </si>
  <si>
    <t>1F2-081</t>
  </si>
  <si>
    <t>2019-6-14</t>
  </si>
  <si>
    <t>2020-6-4</t>
  </si>
  <si>
    <t>A0351</t>
  </si>
  <si>
    <t>王伟霞</t>
  </si>
  <si>
    <t>410103198408280163</t>
  </si>
  <si>
    <t>郑州市侯寨区乡王宁庄110号附1号</t>
  </si>
  <si>
    <t>4F8-017</t>
  </si>
  <si>
    <t>A0352</t>
  </si>
  <si>
    <t>孙卫波
盛丽霞</t>
  </si>
  <si>
    <t>41270219850506361X
412827199005078548</t>
  </si>
  <si>
    <t>河南省项城市李寨镇赵堂村孙庄090号</t>
  </si>
  <si>
    <t>4F1-029</t>
  </si>
  <si>
    <t>A0353</t>
  </si>
  <si>
    <t>刘志勇</t>
  </si>
  <si>
    <t>411121197812081077</t>
  </si>
  <si>
    <t>郑州市中原区秦岭路5号院37号楼2单元14号</t>
  </si>
  <si>
    <t>3F4-063</t>
  </si>
  <si>
    <t>A0354</t>
  </si>
  <si>
    <t>邱卫东</t>
  </si>
  <si>
    <t>410423198509113550</t>
  </si>
  <si>
    <t>郑州市管城回族区货站街180号院8号楼43号</t>
  </si>
  <si>
    <t>2FA-022</t>
  </si>
  <si>
    <t>A0355</t>
  </si>
  <si>
    <t>翟高杰</t>
  </si>
  <si>
    <t xml:space="preserve">412721199112232615
</t>
  </si>
  <si>
    <t>郑州市中原区陇海西路169号附13号</t>
  </si>
  <si>
    <t>1F8-160</t>
  </si>
  <si>
    <t>2019-8-1</t>
  </si>
  <si>
    <t>A0356</t>
  </si>
  <si>
    <t>梁超</t>
  </si>
  <si>
    <t>410103198202185013</t>
  </si>
  <si>
    <t>郑州市二七区侯寨乡南岗刘村293号附2号</t>
  </si>
  <si>
    <t>4F8-019</t>
  </si>
  <si>
    <t>2020-11-18</t>
  </si>
  <si>
    <t>A0357</t>
  </si>
  <si>
    <t>张艳军/王海岩</t>
  </si>
  <si>
    <t>410181197605075032/41018119770906504X</t>
  </si>
  <si>
    <t>河南省巩义市新民巷14号院2号楼附18号</t>
  </si>
  <si>
    <t>4FA-024</t>
  </si>
  <si>
    <t>A0358</t>
  </si>
  <si>
    <t>马平凡</t>
  </si>
  <si>
    <t>410105199206010138</t>
  </si>
  <si>
    <t>郑州市金水区丰产路86号院1号楼1号</t>
  </si>
  <si>
    <t>3F4-051</t>
  </si>
  <si>
    <t>2019-11-9</t>
  </si>
  <si>
    <t>2万定金流水未找到</t>
  </si>
  <si>
    <t>A0359</t>
  </si>
  <si>
    <t>何现威</t>
  </si>
  <si>
    <t>412722198801121699</t>
  </si>
  <si>
    <t>河南省西华县奉母镇七二行政村二村</t>
  </si>
  <si>
    <t>1F7-034</t>
  </si>
  <si>
    <t>2020-7-23</t>
  </si>
  <si>
    <t>A0360</t>
  </si>
  <si>
    <t>朱蓓</t>
  </si>
  <si>
    <t>411381198609266537</t>
  </si>
  <si>
    <t>郑州市金水区金明路黄家庵</t>
  </si>
  <si>
    <t>2FA-032</t>
  </si>
  <si>
    <t>原合同、收据被恒祥收回</t>
  </si>
  <si>
    <t>A0361</t>
  </si>
  <si>
    <t>戴红</t>
  </si>
  <si>
    <t>410411198211125545</t>
  </si>
  <si>
    <t>郑州市金水区北环路72号</t>
  </si>
  <si>
    <t>3F5-043</t>
  </si>
  <si>
    <t>2019-7-15</t>
  </si>
  <si>
    <t>A0362</t>
  </si>
  <si>
    <t>侯晓燕</t>
  </si>
  <si>
    <t>410102197507101027</t>
  </si>
  <si>
    <t>郑州市中原区一厂西六街33号楼附7号</t>
  </si>
  <si>
    <t>1F7-012</t>
  </si>
  <si>
    <t>A0363</t>
  </si>
  <si>
    <t>朱云飞</t>
  </si>
  <si>
    <t>410183198310217029</t>
  </si>
  <si>
    <t>河南省荥阳市贾峪镇文教家属院201号</t>
  </si>
  <si>
    <t>3FA-021</t>
  </si>
  <si>
    <t>A0364</t>
  </si>
  <si>
    <t>王梦圆</t>
  </si>
  <si>
    <t>413026199208130343</t>
  </si>
  <si>
    <t>河南省固始县蒙城街道办事处后街18号</t>
  </si>
  <si>
    <t>3F9-005</t>
  </si>
  <si>
    <t>2020-9-9</t>
  </si>
  <si>
    <t>吴红更</t>
  </si>
  <si>
    <t>A0366</t>
  </si>
  <si>
    <t>范艳玲</t>
  </si>
  <si>
    <t>412829196211010869</t>
  </si>
  <si>
    <t>河南省新郑市新烟办和庄214号</t>
  </si>
  <si>
    <t>3F8-065</t>
  </si>
  <si>
    <t>A0367</t>
  </si>
  <si>
    <t>411481198511162516</t>
  </si>
  <si>
    <t>河南省永城市蒋口乡张庙村张庄东组039号</t>
  </si>
  <si>
    <t>3F9-044</t>
  </si>
  <si>
    <t>2019-8-6</t>
  </si>
  <si>
    <t>A0368</t>
  </si>
  <si>
    <t>董奥博</t>
  </si>
  <si>
    <t>410181199101146035</t>
  </si>
  <si>
    <t>河南省巩义市西村镇堤东村曹角胡同13号</t>
  </si>
  <si>
    <t>3F9-007</t>
  </si>
  <si>
    <t>A0369</t>
  </si>
  <si>
    <t>马向阳</t>
  </si>
  <si>
    <t>412727198909130011</t>
  </si>
  <si>
    <t>河北省南漳县滨河路22号</t>
  </si>
  <si>
    <t>18272073791,18220686231</t>
  </si>
  <si>
    <t>4FC-042</t>
  </si>
  <si>
    <t>2019-1-25</t>
  </si>
  <si>
    <t>2020-5-19</t>
  </si>
  <si>
    <t>A0371</t>
  </si>
  <si>
    <t>严东华</t>
  </si>
  <si>
    <t>412728197507154696</t>
  </si>
  <si>
    <t>河南省沈丘县刘庄店镇前严庄行政村前严庄村254号</t>
  </si>
  <si>
    <t>13838536458/13783490266</t>
  </si>
  <si>
    <t>2FB-125</t>
  </si>
  <si>
    <t>2019-1-29</t>
  </si>
  <si>
    <t>A0372</t>
  </si>
  <si>
    <t>焦琦盛</t>
  </si>
  <si>
    <t>410105200403260238</t>
  </si>
  <si>
    <t>郑州市中原区中原中路123号世纪豫花园2楼4单元18号</t>
  </si>
  <si>
    <t>2FA-035</t>
  </si>
  <si>
    <t>A0373</t>
  </si>
  <si>
    <t>张银</t>
  </si>
  <si>
    <t>420683199110187834</t>
  </si>
  <si>
    <t>湖北省枣阳市西城开发区西园居委二组396号</t>
  </si>
  <si>
    <t>2FA-025</t>
  </si>
  <si>
    <t>A0375</t>
  </si>
  <si>
    <t>王烁
青跃伸</t>
  </si>
  <si>
    <t>410108199301120027
410108199207160057</t>
  </si>
  <si>
    <t>郑州市惠济区新城办事处弓寨村南墙里81号</t>
  </si>
  <si>
    <t>3F5-051</t>
  </si>
  <si>
    <t>2019-8-7</t>
  </si>
  <si>
    <t>2020-6-10</t>
  </si>
  <si>
    <t>A0377</t>
  </si>
  <si>
    <t>尹成洁</t>
  </si>
  <si>
    <t>411082199508200023</t>
  </si>
  <si>
    <t>河南省长葛市石固镇南张庄村2组</t>
  </si>
  <si>
    <t>1F8-170</t>
  </si>
  <si>
    <t>A0378</t>
  </si>
  <si>
    <t>王赫</t>
  </si>
  <si>
    <t>410822198907081553</t>
  </si>
  <si>
    <t>河南省博爱县磨头镇博爱农场友谊街一号</t>
  </si>
  <si>
    <t>3F2-015</t>
  </si>
  <si>
    <t>A0379</t>
  </si>
  <si>
    <t>景星辉</t>
  </si>
  <si>
    <t>41082119950217002X、41042320000119904X</t>
  </si>
  <si>
    <t>河南省修武县城关镇赵厂村25号</t>
  </si>
  <si>
    <t>15639999225</t>
  </si>
  <si>
    <t>1FC-098</t>
  </si>
  <si>
    <t>2019-3-5</t>
  </si>
  <si>
    <t>2020-5-26</t>
  </si>
  <si>
    <t>去乔一鸣</t>
  </si>
  <si>
    <t>A0380</t>
  </si>
  <si>
    <t>牛桂兰</t>
  </si>
  <si>
    <t>41272319640830906X</t>
  </si>
  <si>
    <t>河南省周口市川汇川东工业基地姚滩村十组</t>
  </si>
  <si>
    <t>1F7-100</t>
  </si>
  <si>
    <t>秦自力已退款完</t>
  </si>
  <si>
    <t>A0381</t>
  </si>
  <si>
    <t>杨建立</t>
  </si>
  <si>
    <t>132903197909224710</t>
  </si>
  <si>
    <t>河南省郑州市二七区建设东路23号48号楼3单元27号</t>
  </si>
  <si>
    <t>3F9-015</t>
  </si>
  <si>
    <t>2019-9-1</t>
  </si>
  <si>
    <t>2020-6-15</t>
  </si>
  <si>
    <t>A0382</t>
  </si>
  <si>
    <t>王永利</t>
  </si>
  <si>
    <t>410822196911151551</t>
  </si>
  <si>
    <t>河南省博爱县月山镇上庄村工业路8号院</t>
  </si>
  <si>
    <t>4F1-085</t>
  </si>
  <si>
    <t>吴明伟退定金转给王克亮</t>
  </si>
  <si>
    <t>A0383</t>
  </si>
  <si>
    <t>王永</t>
  </si>
  <si>
    <t>410822196503216512</t>
  </si>
  <si>
    <t>河南省博爱县磨头镇博爱农场西一区21号</t>
  </si>
  <si>
    <t>4F4-051</t>
  </si>
  <si>
    <t>A0384</t>
  </si>
  <si>
    <t>张皓晨</t>
  </si>
  <si>
    <t>410105199704060074</t>
  </si>
  <si>
    <t>郑州市金水区纬一路3号院7号楼17号</t>
  </si>
  <si>
    <t>3F8-055</t>
  </si>
  <si>
    <t>2019-5-27</t>
  </si>
  <si>
    <t>2020-6-13</t>
  </si>
  <si>
    <t>A0385-1</t>
  </si>
  <si>
    <t>张斌斌
张阳阳</t>
  </si>
  <si>
    <t>4110821981015063X
411082199205109011</t>
  </si>
  <si>
    <t>河南省长葛市坡胡镇营张村7组</t>
  </si>
  <si>
    <t>1F8-029</t>
  </si>
  <si>
    <t>A0385-2</t>
  </si>
  <si>
    <t>1F8-028</t>
  </si>
  <si>
    <t>A0386</t>
  </si>
  <si>
    <t>412723198603169049</t>
  </si>
  <si>
    <t>郑州市金水区广电南路10号院18号楼32号</t>
  </si>
  <si>
    <t>4F5-074</t>
  </si>
  <si>
    <t>A0387</t>
  </si>
  <si>
    <t>李亚杰</t>
  </si>
  <si>
    <t>412723198705199046</t>
  </si>
  <si>
    <t>郑州市金水区广电南路9号院6号楼18号</t>
  </si>
  <si>
    <t>4F5-043</t>
  </si>
  <si>
    <t>A0388</t>
  </si>
  <si>
    <t>张喜和</t>
  </si>
  <si>
    <t>371522198708089271</t>
  </si>
  <si>
    <t>山东省莘县大张家镇常庄96号</t>
  </si>
  <si>
    <t>3F6-120</t>
  </si>
  <si>
    <t>2019-6-7</t>
  </si>
  <si>
    <t>2020-6-14</t>
  </si>
  <si>
    <t>A0392</t>
  </si>
  <si>
    <t>吴潇</t>
  </si>
  <si>
    <t>410703198707191024</t>
  </si>
  <si>
    <t>河南省新乡市牧野区工人路北街一巷6号楼2单元4号</t>
  </si>
  <si>
    <t>4F9-047</t>
  </si>
  <si>
    <t>A0394</t>
  </si>
  <si>
    <t>魏跃峰</t>
  </si>
  <si>
    <t>410102199012160235</t>
  </si>
  <si>
    <t>郑州市高新技术开发区沟赵乡西赵村345号附2号</t>
  </si>
  <si>
    <t>3F5-039</t>
  </si>
  <si>
    <t>A0395</t>
  </si>
  <si>
    <t>张棋 李丽</t>
  </si>
  <si>
    <t>410183199011217015
411527199309032760</t>
  </si>
  <si>
    <t>河南省荥阳市贾峪镇郭岗东沟009号</t>
  </si>
  <si>
    <t>1F7-103</t>
  </si>
  <si>
    <t>2020-5-28</t>
  </si>
  <si>
    <t>A0396</t>
  </si>
  <si>
    <t>韩国兰</t>
  </si>
  <si>
    <t>412702198709110633</t>
  </si>
  <si>
    <t>河南省社旗县郝寨镇李楼村李楼</t>
  </si>
  <si>
    <t>3F2-058</t>
  </si>
  <si>
    <t>2019-6-19</t>
  </si>
  <si>
    <t>A0397</t>
  </si>
  <si>
    <t>姚伟利</t>
  </si>
  <si>
    <t>410183199002277024</t>
  </si>
  <si>
    <t>河南省荥阳市贾峪镇郭岗025号</t>
  </si>
  <si>
    <t>3F7-032</t>
  </si>
  <si>
    <t>A0398</t>
  </si>
  <si>
    <t>杨彩霞</t>
  </si>
  <si>
    <t>410526198804025822</t>
  </si>
  <si>
    <t>郑州市金水区东风路38号院10号楼21号</t>
  </si>
  <si>
    <t>15890646948/15515581218</t>
  </si>
  <si>
    <t>2FA-004</t>
  </si>
  <si>
    <t>A0401</t>
  </si>
  <si>
    <t>高亚亚</t>
  </si>
  <si>
    <t>41272319900416614X</t>
  </si>
  <si>
    <t>郑州市中原区嵩山北路农业路升龙天汇9号院1号楼3单元301</t>
  </si>
  <si>
    <t>3FA-018</t>
  </si>
  <si>
    <t>A0402</t>
  </si>
  <si>
    <t>和亚飞</t>
  </si>
  <si>
    <t>130432199404100327</t>
  </si>
  <si>
    <t>河南省新郑市龙湖镇文昌路61号院5号楼3单元1801号</t>
  </si>
  <si>
    <t>4F5-025</t>
  </si>
  <si>
    <t>2019-11-29</t>
  </si>
  <si>
    <t>李秋芳提交退款申请</t>
  </si>
  <si>
    <t>A0404</t>
  </si>
  <si>
    <t>李慧芳</t>
  </si>
  <si>
    <t>41072719660906092X</t>
  </si>
  <si>
    <t>河南省新郑市城关乡田庄六队486号</t>
  </si>
  <si>
    <t>4F2-032</t>
  </si>
  <si>
    <t>2019-6-25</t>
  </si>
  <si>
    <t>A0405</t>
  </si>
  <si>
    <t>刘金豹</t>
  </si>
  <si>
    <t>412724197703185574</t>
  </si>
  <si>
    <t>河南省太康县老冢镇刘屯西行政村刘屯西村</t>
  </si>
  <si>
    <t>1F8-012</t>
  </si>
  <si>
    <t>2019-6-13</t>
  </si>
  <si>
    <t>A0406</t>
  </si>
  <si>
    <t>徐超良、张宁</t>
  </si>
  <si>
    <t>410105199006050178/410102199002200387</t>
  </si>
  <si>
    <t>郑州市中原区须水镇张家门村49号</t>
  </si>
  <si>
    <t>15903628252/15226009749</t>
  </si>
  <si>
    <t>3FB-161</t>
  </si>
  <si>
    <t>2019-2-28</t>
  </si>
  <si>
    <t>A0408</t>
  </si>
  <si>
    <t>王华锋</t>
  </si>
  <si>
    <t>410124197206122033</t>
  </si>
  <si>
    <t>郑州市高新技术开发区瑞达路60号院19号楼7单元80号</t>
  </si>
  <si>
    <t>3F10-026</t>
  </si>
  <si>
    <t>2019-12-23</t>
  </si>
  <si>
    <t>2020-3-23</t>
  </si>
  <si>
    <t>A0413</t>
  </si>
  <si>
    <t>许金梅</t>
  </si>
  <si>
    <t>410221198607121323</t>
  </si>
  <si>
    <t>河南省杞县斐村店乡曹屯村孙屯自然村798号</t>
  </si>
  <si>
    <t>3F9-048</t>
  </si>
  <si>
    <t>2019-8-11</t>
  </si>
  <si>
    <t>A0414</t>
  </si>
  <si>
    <t>肖子彬</t>
  </si>
  <si>
    <t>410103197706175834</t>
  </si>
  <si>
    <t>郑州市二七区马寨镇水磨村379号</t>
  </si>
  <si>
    <t>3F9-020</t>
  </si>
  <si>
    <t>A0416</t>
  </si>
  <si>
    <t>肖磊彬</t>
  </si>
  <si>
    <t>410103198507240159</t>
  </si>
  <si>
    <t>郑州市二七区马寨镇水磨村359号</t>
  </si>
  <si>
    <t>3F9-004</t>
  </si>
  <si>
    <t>A0417</t>
  </si>
  <si>
    <t>孙志锋</t>
  </si>
  <si>
    <t>412925197505291920</t>
  </si>
  <si>
    <t>郑州市管城区货栈街33号院7号楼20号</t>
  </si>
  <si>
    <t>4F6-022</t>
  </si>
  <si>
    <t>A0418</t>
  </si>
  <si>
    <t>黄冉</t>
  </si>
  <si>
    <t>411082199012208427</t>
  </si>
  <si>
    <t>河南省长葛市建设办人民路机械电子公司家属院北1单元302室</t>
  </si>
  <si>
    <t>3F7-046</t>
  </si>
  <si>
    <t>2019-8-21</t>
  </si>
  <si>
    <t>5.15赵莉 高依依提交退款</t>
  </si>
  <si>
    <t>A0420</t>
  </si>
  <si>
    <t>张海涛
付静</t>
  </si>
  <si>
    <t>410184198301125639</t>
  </si>
  <si>
    <t>河南省新郑市和庄镇付庄106号</t>
  </si>
  <si>
    <t>3F5-050</t>
  </si>
  <si>
    <t>A0422</t>
  </si>
  <si>
    <t>刘萍</t>
  </si>
  <si>
    <t>413023197612110020</t>
  </si>
  <si>
    <t>郑州市中原区桐柏北路100号院34号楼37号</t>
  </si>
  <si>
    <t>3F8-070</t>
  </si>
  <si>
    <t>2019-5-22</t>
  </si>
  <si>
    <t>A0423</t>
  </si>
  <si>
    <t>郭雪丽</t>
  </si>
  <si>
    <t>412827198702113068</t>
  </si>
  <si>
    <t>郑州市金水区沙口路6号院22号楼14号</t>
  </si>
  <si>
    <t>3F7-029</t>
  </si>
  <si>
    <t>A0424</t>
  </si>
  <si>
    <t>吉利娜</t>
  </si>
  <si>
    <t>410825198006065029</t>
  </si>
  <si>
    <t>郑州市惠济区新城办事处耿庄村191号</t>
  </si>
  <si>
    <t>3F6-125</t>
  </si>
  <si>
    <t>A0426</t>
  </si>
  <si>
    <t>田彬</t>
  </si>
  <si>
    <t>410102198401230124</t>
  </si>
  <si>
    <t>郑州市中原区伏牛路178号院22号楼附22号</t>
  </si>
  <si>
    <t>4F4-025</t>
  </si>
  <si>
    <t>由4F6-033转入定金6万</t>
  </si>
  <si>
    <t>A0432</t>
  </si>
  <si>
    <t>迮乐</t>
  </si>
  <si>
    <t>410103198107113222</t>
  </si>
  <si>
    <t>郑州市二七区永安街35号院25号楼77号</t>
  </si>
  <si>
    <t>4F3-013</t>
  </si>
  <si>
    <t>2020-9-28</t>
  </si>
  <si>
    <t xml:space="preserve">898410115203543恒祥实业
</t>
  </si>
  <si>
    <t>A0433</t>
  </si>
  <si>
    <t>李运国</t>
  </si>
  <si>
    <t>410103196708253715</t>
  </si>
  <si>
    <t>郑州市二七区中原东路78号院26号楼18号</t>
  </si>
  <si>
    <t>3F5-059</t>
  </si>
  <si>
    <t>2020-6-26</t>
  </si>
  <si>
    <t>A0436</t>
  </si>
  <si>
    <t>鲁召武</t>
  </si>
  <si>
    <t>411481199401010612</t>
  </si>
  <si>
    <t>河南省永城市芒山镇雨亭村八组846号</t>
  </si>
  <si>
    <t>2FA-009</t>
  </si>
  <si>
    <t>债权登记表已付房款411635与收据410184不一致</t>
  </si>
  <si>
    <t>A0437</t>
  </si>
  <si>
    <t>鲁永军</t>
  </si>
  <si>
    <t>412328198208240677</t>
  </si>
  <si>
    <t>河南省永城市芒山镇雨亭村九组856号</t>
  </si>
  <si>
    <t>2FA-030</t>
  </si>
  <si>
    <t>A0438</t>
  </si>
  <si>
    <t>吕海燕</t>
  </si>
  <si>
    <t>410402197411283512</t>
  </si>
  <si>
    <t>河南省平顶山市湛河区牛庄附74号</t>
  </si>
  <si>
    <t>4FA-047</t>
  </si>
  <si>
    <t>孳息及违约金123000</t>
  </si>
  <si>
    <t>A0439</t>
  </si>
  <si>
    <t>刘毓</t>
  </si>
  <si>
    <t>41010519700711164X</t>
  </si>
  <si>
    <t>郑州市金水区文化路41号院3号楼11号</t>
  </si>
  <si>
    <t>3F8-004</t>
  </si>
  <si>
    <t>A0441</t>
  </si>
  <si>
    <t>郑凯峰</t>
  </si>
  <si>
    <t>41010220171025049X</t>
  </si>
  <si>
    <t>郑州市二七区</t>
  </si>
  <si>
    <t>3F9-031</t>
  </si>
  <si>
    <t>A0442</t>
  </si>
  <si>
    <t>梁彪</t>
  </si>
  <si>
    <t>410103198604050138</t>
  </si>
  <si>
    <t>郑州市二七区侯寨乡南岗刘村110号附1号</t>
  </si>
  <si>
    <t>4F1-097</t>
  </si>
  <si>
    <t>2019-4-12</t>
  </si>
  <si>
    <t>A0443</t>
  </si>
  <si>
    <t>徐桂云</t>
  </si>
  <si>
    <t>410107195904260526</t>
  </si>
  <si>
    <t>郑州市中原区互助路21号院7号楼31号</t>
  </si>
  <si>
    <t>4FA-150</t>
  </si>
  <si>
    <t>2018-12-14</t>
  </si>
  <si>
    <t>维修基金收据金额4379</t>
  </si>
  <si>
    <t>A0445</t>
  </si>
  <si>
    <t>李晶</t>
  </si>
  <si>
    <t>412828199105105183</t>
  </si>
  <si>
    <t>郑州市惠济区开元路100号2号楼1单元301号</t>
  </si>
  <si>
    <t>1F7-065</t>
  </si>
  <si>
    <t>A0447-1</t>
  </si>
  <si>
    <t>王智锋</t>
  </si>
  <si>
    <t>412822198312087966</t>
  </si>
  <si>
    <t>郑州市金水区二七区大学南路8号院1号楼119号</t>
  </si>
  <si>
    <t>1FA-012</t>
  </si>
  <si>
    <t>A0447-2</t>
  </si>
  <si>
    <t>1FA-016</t>
  </si>
  <si>
    <t>A0449</t>
  </si>
  <si>
    <t>刘琳</t>
  </si>
  <si>
    <t>342101195803011323</t>
  </si>
  <si>
    <t>郑州市金水区红旗路102号院2号楼13号</t>
  </si>
  <si>
    <t>3F7-015</t>
  </si>
  <si>
    <t>A0450</t>
  </si>
  <si>
    <t>韩春凤</t>
  </si>
  <si>
    <t>412928196303143844</t>
  </si>
  <si>
    <t>郑州市二七区嵩山北路93号院2号楼42号</t>
  </si>
  <si>
    <t>1F8-105</t>
  </si>
  <si>
    <t>2019-8-12</t>
  </si>
  <si>
    <t>2020-8-12</t>
  </si>
  <si>
    <t>A0452</t>
  </si>
  <si>
    <t>樊建霞</t>
  </si>
  <si>
    <t>410182198412123721</t>
  </si>
  <si>
    <t>郑州市二七区汝河路28号1号楼2单元2803号</t>
  </si>
  <si>
    <t>3FA-036</t>
  </si>
  <si>
    <t>A0454</t>
  </si>
  <si>
    <t>孙睿博</t>
  </si>
  <si>
    <t>410105198811180018</t>
  </si>
  <si>
    <t>郑州市金水区农业路东25号院5号楼70号</t>
  </si>
  <si>
    <t>1F8-137</t>
  </si>
  <si>
    <t>A0455</t>
  </si>
  <si>
    <t>徐淑萍</t>
  </si>
  <si>
    <t>410104196001012025</t>
  </si>
  <si>
    <t>郑州市金水区东里路39授予所5号楼38号</t>
  </si>
  <si>
    <t>4FA-136</t>
  </si>
  <si>
    <t>A0456</t>
  </si>
  <si>
    <t>张倩</t>
  </si>
  <si>
    <t>410102198601070102</t>
  </si>
  <si>
    <t>东里路39号院5号楼4单元38号</t>
  </si>
  <si>
    <t>11.13平方单价19693.62,4.01平方单价26500，2020.7.9号徐淑萍更名为张倩</t>
  </si>
  <si>
    <t>A0459</t>
  </si>
  <si>
    <t>王照阳</t>
  </si>
  <si>
    <t>411503197608238734</t>
  </si>
  <si>
    <t>河南省信阳市平桥区明港镇新明路527号</t>
  </si>
  <si>
    <t>3F6-045</t>
  </si>
  <si>
    <t>2019-4-28</t>
  </si>
  <si>
    <t>2020-12-16</t>
  </si>
  <si>
    <t>A0462</t>
  </si>
  <si>
    <t>宗书梅</t>
  </si>
  <si>
    <t>412929196910120106</t>
  </si>
  <si>
    <t>河南省唐河县滨河街道办事处谢庄社区居委会谢庄西组49号</t>
  </si>
  <si>
    <t>3F7-023</t>
  </si>
  <si>
    <t>2019.5.6已补30000</t>
  </si>
  <si>
    <t>A0463</t>
  </si>
  <si>
    <t>邢建平</t>
  </si>
  <si>
    <t>410727195902017352</t>
  </si>
  <si>
    <t>郑州市管城回族区东关南里1号院4号楼附31号</t>
  </si>
  <si>
    <t>3F8-018</t>
  </si>
  <si>
    <t>A0464</t>
  </si>
  <si>
    <t>于伟鹏、张玉</t>
  </si>
  <si>
    <t>410126198009285316、41152319820720092X</t>
  </si>
  <si>
    <t>郑州市中原区陇海西路169号附5号</t>
  </si>
  <si>
    <t>3F9-076</t>
  </si>
  <si>
    <t>2019-7-22</t>
  </si>
  <si>
    <t>由B1-15-036调至此</t>
  </si>
  <si>
    <t>A0465</t>
  </si>
  <si>
    <t>杨增辉</t>
  </si>
  <si>
    <t>410724198302250016</t>
  </si>
  <si>
    <t>河南省获嘉县城区福兴街16排4号</t>
  </si>
  <si>
    <t>1F8-094</t>
  </si>
  <si>
    <t>2019-10-2</t>
  </si>
  <si>
    <t>2019-10-8</t>
  </si>
  <si>
    <t>A0466</t>
  </si>
  <si>
    <t>410105198610070162</t>
  </si>
  <si>
    <t>15981833252</t>
  </si>
  <si>
    <t>3FB-160</t>
  </si>
  <si>
    <t>A0467</t>
  </si>
  <si>
    <t>黄小清</t>
  </si>
  <si>
    <t>410108197312141027</t>
  </si>
  <si>
    <t>郑州市惠济区新城办事处毛庄毛庄乡政府</t>
  </si>
  <si>
    <t>1F8-116</t>
  </si>
  <si>
    <t>A0468</t>
  </si>
  <si>
    <t>李红超</t>
  </si>
  <si>
    <t>411082198202136634</t>
  </si>
  <si>
    <t>河南省长葛市和尚桥镇段庄村8组</t>
  </si>
  <si>
    <t>1F8-150</t>
  </si>
  <si>
    <t>A0469</t>
  </si>
  <si>
    <t>赵欣欣</t>
  </si>
  <si>
    <t>411281198809072029</t>
  </si>
  <si>
    <t>河南省义马市杨村路育英东街122号</t>
  </si>
  <si>
    <t>3F8-098</t>
  </si>
  <si>
    <t>2019-6-1</t>
  </si>
  <si>
    <t>A0470</t>
  </si>
  <si>
    <t>苏伟庭</t>
  </si>
  <si>
    <t>412328198001106964</t>
  </si>
  <si>
    <t>河南省新郑市孟庄镇山石王370号</t>
  </si>
  <si>
    <t>17739777596/15038126558</t>
  </si>
  <si>
    <t>3F5-047</t>
  </si>
  <si>
    <t>2020-11-22</t>
  </si>
  <si>
    <t>申报金额多50</t>
  </si>
  <si>
    <t>A0471</t>
  </si>
  <si>
    <t>王磊</t>
  </si>
  <si>
    <t>410184198510153230</t>
  </si>
  <si>
    <t>新郑市郑港办事处</t>
  </si>
  <si>
    <t>3F5-048</t>
  </si>
  <si>
    <t>A0472</t>
  </si>
  <si>
    <t>郭冉</t>
  </si>
  <si>
    <t>411423199508201546</t>
  </si>
  <si>
    <t>河南省宁陵县黄岗乡黄岗村291号</t>
  </si>
  <si>
    <t>18768888415
15737192406</t>
  </si>
  <si>
    <t>4F1-075</t>
  </si>
  <si>
    <t>2020-9-12</t>
  </si>
  <si>
    <t>A0473</t>
  </si>
  <si>
    <t>王安彬</t>
  </si>
  <si>
    <t>412722197311243015</t>
  </si>
  <si>
    <t>河南省西华县也埠口乡前柳城行政村前柳城村148号</t>
  </si>
  <si>
    <t>3F7-054</t>
  </si>
  <si>
    <t>面积增大补款11241没收据有银行回单</t>
  </si>
  <si>
    <t>房款申报330625元，附319384元收据，总申报金额填写333733元</t>
  </si>
  <si>
    <t>A0474</t>
  </si>
  <si>
    <t>张改荣</t>
  </si>
  <si>
    <t>410184198306236928</t>
  </si>
  <si>
    <t>河南省新郑市龙湖镇小乔村1</t>
  </si>
  <si>
    <t>3F1-115</t>
  </si>
  <si>
    <t>A0476</t>
  </si>
  <si>
    <t>李书闻</t>
  </si>
  <si>
    <t>411325199002212368</t>
  </si>
  <si>
    <t>郑州市中原区工农路88号院11号楼2单元14号</t>
  </si>
  <si>
    <t>1F1-024</t>
  </si>
  <si>
    <t>A0477</t>
  </si>
  <si>
    <t>何智薇</t>
  </si>
  <si>
    <t>41020419920211502X</t>
  </si>
  <si>
    <t>河南省开封市鼓楼区弓箭街17号</t>
  </si>
  <si>
    <t>3F7-112</t>
  </si>
  <si>
    <t>A0478</t>
  </si>
  <si>
    <t>张露</t>
  </si>
  <si>
    <t>41010519870317020X</t>
  </si>
  <si>
    <t>郑州市管城回族区东明路南29号院8号楼22号</t>
  </si>
  <si>
    <t>4FA-025</t>
  </si>
  <si>
    <t>收据金额618500</t>
  </si>
  <si>
    <t>重复计算维修基金和产权登记费</t>
  </si>
  <si>
    <t>改动</t>
  </si>
  <si>
    <t>A0479</t>
  </si>
  <si>
    <t>于俊华</t>
  </si>
  <si>
    <t>411024197401200047</t>
  </si>
  <si>
    <t>郑州市金水区普惠路2号院4号楼98号</t>
  </si>
  <si>
    <t>4F4-091</t>
  </si>
  <si>
    <t>A0480</t>
  </si>
  <si>
    <t>阎新琳</t>
  </si>
  <si>
    <t>410102197408151520</t>
  </si>
  <si>
    <t>郑州市中原区罗庄村136号付1号</t>
  </si>
  <si>
    <t>1FA-047</t>
  </si>
  <si>
    <t>A0481</t>
  </si>
  <si>
    <t>谢文旨</t>
  </si>
  <si>
    <t>410102197408050025</t>
  </si>
  <si>
    <t>郑州市二七区蜜蜂张街188号院2号楼5单元3号</t>
  </si>
  <si>
    <t>4F4-084</t>
  </si>
  <si>
    <t>A0482</t>
  </si>
  <si>
    <t>韩晨阳</t>
  </si>
  <si>
    <t>411121199410060010</t>
  </si>
  <si>
    <t>郑州市中原区冉屯路55号8号楼1单元1604号</t>
  </si>
  <si>
    <t>4F4-093</t>
  </si>
  <si>
    <t>A0483</t>
  </si>
  <si>
    <t>时旭彤</t>
  </si>
  <si>
    <t>410105200003300085</t>
  </si>
  <si>
    <t>郑州市金水区经二路北29号院</t>
  </si>
  <si>
    <t>4FA-029</t>
  </si>
  <si>
    <t>2020-8-8</t>
  </si>
  <si>
    <t>时群英夫妻更名</t>
  </si>
  <si>
    <t>A0486</t>
  </si>
  <si>
    <t>陈现杰</t>
  </si>
  <si>
    <t>410182198209102116</t>
  </si>
  <si>
    <t>郑州市经济技术开发区经南五路17号</t>
  </si>
  <si>
    <t>3F2-007</t>
  </si>
  <si>
    <t>2019-6-9</t>
  </si>
  <si>
    <t>A0487</t>
  </si>
  <si>
    <t>秦福利</t>
  </si>
  <si>
    <t>410782197402063161</t>
  </si>
  <si>
    <t>郑州市金水区博颂路16号院</t>
  </si>
  <si>
    <t>3F1-068</t>
  </si>
  <si>
    <t>收据金额609965</t>
  </si>
  <si>
    <t>秦福利计算总金额609985元</t>
  </si>
  <si>
    <t>A0488</t>
  </si>
  <si>
    <t>秦风勇</t>
  </si>
  <si>
    <t>410711197606271012</t>
  </si>
  <si>
    <t>河南省新乡市红旗区五普家属院36号楼3单元5楼东户</t>
  </si>
  <si>
    <t>18809000160/13937329728</t>
  </si>
  <si>
    <t>1FC-096</t>
  </si>
  <si>
    <t>2019-2-24</t>
  </si>
  <si>
    <t>2019-3-2</t>
  </si>
  <si>
    <t>A0489</t>
  </si>
  <si>
    <t>潘成桃</t>
  </si>
  <si>
    <t>412321197902040027</t>
  </si>
  <si>
    <t>郑州市管城回族区二里岗街26号1号楼60号</t>
  </si>
  <si>
    <t>3F7-028</t>
  </si>
  <si>
    <t>2020-7-11</t>
  </si>
  <si>
    <t>A0490</t>
  </si>
  <si>
    <t>魏振军</t>
  </si>
  <si>
    <t>410104198701070110</t>
  </si>
  <si>
    <t>郑州市管城回族区南曹乡张华楼村65号</t>
  </si>
  <si>
    <t>3F7-065</t>
  </si>
  <si>
    <t>A0491</t>
  </si>
  <si>
    <t>徐雷</t>
  </si>
  <si>
    <t>410105199109230112</t>
  </si>
  <si>
    <t>郑州市金水区柳林镇路砦村50号一队071</t>
  </si>
  <si>
    <t>3F1-107</t>
  </si>
  <si>
    <t>2020-10-9</t>
  </si>
  <si>
    <t>A0492</t>
  </si>
  <si>
    <t>李子立</t>
  </si>
  <si>
    <t>410728197509222072</t>
  </si>
  <si>
    <t>河南省长垣县恼里镇东辛庄村717号</t>
  </si>
  <si>
    <t>1F6-075</t>
  </si>
  <si>
    <t>2019-11-27</t>
  </si>
  <si>
    <t>2020-8-31</t>
  </si>
  <si>
    <t>A0493</t>
  </si>
  <si>
    <t>陈磊</t>
  </si>
  <si>
    <t>412726198004120015</t>
  </si>
  <si>
    <t>河南省郸城县城关镇西环南路4胡同20号</t>
  </si>
  <si>
    <t>3F1-036</t>
  </si>
  <si>
    <t>2019-12-8</t>
  </si>
  <si>
    <t>河北问道33万元，恒祥实业4409元</t>
  </si>
  <si>
    <t>A0494</t>
  </si>
  <si>
    <t>梁亚锋</t>
  </si>
  <si>
    <t>41282619831001753X</t>
  </si>
  <si>
    <t>河南省汝南县金铺镇金赵村金赵97号</t>
  </si>
  <si>
    <t>3F2-043</t>
  </si>
  <si>
    <t>A0495</t>
  </si>
  <si>
    <t>左美平</t>
  </si>
  <si>
    <t>412728196506170040</t>
  </si>
  <si>
    <t>郑州市惠济区开元路109号109号楼3单元102号</t>
  </si>
  <si>
    <t>15138968968、15936016166</t>
  </si>
  <si>
    <t>1F5-012</t>
  </si>
  <si>
    <t>2019-9-21</t>
  </si>
  <si>
    <t>19.10.13日1F5-012/013合并一套，左美平、王浩宇更名左美平</t>
  </si>
  <si>
    <t>恒祥实业（郑州银行345731元）</t>
  </si>
  <si>
    <t>A0498</t>
  </si>
  <si>
    <t>王钦臣
王秋利</t>
  </si>
  <si>
    <t>410182198304051513
41012619690727146X</t>
  </si>
  <si>
    <t>河南省新密市超化镇郑家庄村郭高庄45号</t>
  </si>
  <si>
    <t>15093315136
15936280893</t>
  </si>
  <si>
    <t>3F8-126</t>
  </si>
  <si>
    <t>2008元未标明是什么费用，是用花呗转给恒祥</t>
  </si>
  <si>
    <t>A0502</t>
  </si>
  <si>
    <t>魏建军</t>
  </si>
  <si>
    <t>341204197812190813</t>
  </si>
  <si>
    <t>安徽省阜阳市颍泉区周棚办事处潘寨居委会后魏井18号1户</t>
  </si>
  <si>
    <t>3F2-034</t>
  </si>
  <si>
    <t>A0505</t>
  </si>
  <si>
    <t>蒋新丽</t>
  </si>
  <si>
    <t>41102319720202702X</t>
  </si>
  <si>
    <t>郑州市二七区民安路40号院2号楼12号</t>
  </si>
  <si>
    <t>3F5-098</t>
  </si>
  <si>
    <t>原2019.8.23申请退款</t>
  </si>
  <si>
    <t>A0506</t>
  </si>
  <si>
    <t>郭磊</t>
  </si>
  <si>
    <t>411421198609057750</t>
  </si>
  <si>
    <t>郑州市二七区和平路1号</t>
  </si>
  <si>
    <t>1F7-055</t>
  </si>
  <si>
    <t>A0507</t>
  </si>
  <si>
    <t>祁洁</t>
  </si>
  <si>
    <t>410102198012292022</t>
  </si>
  <si>
    <t>郑州市中原区建设西路100号院11号楼3单元13号</t>
  </si>
  <si>
    <t>3F8-005</t>
  </si>
  <si>
    <t>A0508</t>
  </si>
  <si>
    <t>史悦杨</t>
  </si>
  <si>
    <t>410101201108240049</t>
  </si>
  <si>
    <t>郑州市管城回族区</t>
  </si>
  <si>
    <t>3F8-062</t>
  </si>
  <si>
    <t>2020-6-24</t>
  </si>
  <si>
    <t>A0509</t>
  </si>
  <si>
    <t>王娜/顾燕朋</t>
  </si>
  <si>
    <t>411081198903184085/411081198912158858</t>
  </si>
  <si>
    <t>河南省禹州市范坡乡刘店村4组</t>
  </si>
  <si>
    <t>13949817191/15936317011</t>
  </si>
  <si>
    <t>3F5-014</t>
  </si>
  <si>
    <t>2019-9-22</t>
  </si>
  <si>
    <t>A0510</t>
  </si>
  <si>
    <t>李高盼</t>
  </si>
  <si>
    <t>411081198502204073</t>
  </si>
  <si>
    <t>河南省禹州市褚河乡沙圪当村2组</t>
  </si>
  <si>
    <t>3F9-049</t>
  </si>
  <si>
    <t>A0511</t>
  </si>
  <si>
    <t>赵迎春</t>
  </si>
  <si>
    <t>411123198008150163</t>
  </si>
  <si>
    <t>郑州市金水区金水东路7号12号楼20号</t>
  </si>
  <si>
    <t>1F7-063</t>
  </si>
  <si>
    <t>A0512</t>
  </si>
  <si>
    <t>夏翠丽</t>
  </si>
  <si>
    <t>412702198212047480</t>
  </si>
  <si>
    <t>郑州市管城回族区尚德路9号2号楼802号</t>
  </si>
  <si>
    <t>3F7-057</t>
  </si>
  <si>
    <t>A0514</t>
  </si>
  <si>
    <t>杨海军</t>
  </si>
  <si>
    <t>410105197204166113</t>
  </si>
  <si>
    <t>郑州市金水区柳林镇小贺庄236号</t>
  </si>
  <si>
    <t>13783696201/13213226289</t>
  </si>
  <si>
    <t>1F6-091</t>
  </si>
  <si>
    <t>A0515</t>
  </si>
  <si>
    <t>寇惠恋</t>
  </si>
  <si>
    <t>410103196711232480</t>
  </si>
  <si>
    <t>郑州市二七区永安街12号院2号楼17号</t>
  </si>
  <si>
    <t>15637100999/15637113269</t>
  </si>
  <si>
    <t>4FA-079</t>
  </si>
  <si>
    <t>2020-9-1</t>
  </si>
  <si>
    <t>原4FA-079调至此</t>
  </si>
  <si>
    <t>A0516</t>
  </si>
  <si>
    <t>宋见宾
赵丽娜</t>
  </si>
  <si>
    <t>130433198803100932
410181198902185101</t>
  </si>
  <si>
    <t>郑州市二七区人和路76号院6号楼1705号</t>
  </si>
  <si>
    <t>3F5-064</t>
  </si>
  <si>
    <t>2019-7-14</t>
  </si>
  <si>
    <t>A0517</t>
  </si>
  <si>
    <t>屈胜利</t>
  </si>
  <si>
    <t>41108119821504371X</t>
  </si>
  <si>
    <t>河南省禹州市范坡乡蜜蜂王村1组</t>
  </si>
  <si>
    <t>3F9-075</t>
  </si>
  <si>
    <t>A0518</t>
  </si>
  <si>
    <t>朱松金</t>
  </si>
  <si>
    <t>411023196304047051</t>
  </si>
  <si>
    <t>河南省许昌县蒋李集镇前刘王村</t>
  </si>
  <si>
    <t>13782259143、13007671533</t>
  </si>
  <si>
    <t>3F5-021</t>
  </si>
  <si>
    <t>A0519</t>
  </si>
  <si>
    <t>宋奇东</t>
  </si>
  <si>
    <t>410108198912120013</t>
  </si>
  <si>
    <t>郑州市惠济区长兴路办事处老鸦陈南二街363号</t>
  </si>
  <si>
    <t>4FA-102</t>
  </si>
  <si>
    <t>A0520</t>
  </si>
  <si>
    <t>于璐</t>
  </si>
  <si>
    <t>410105198711300182</t>
  </si>
  <si>
    <t>郑州市金水区王府坟村15号附4号</t>
  </si>
  <si>
    <t>1F2-059</t>
  </si>
  <si>
    <t>A0521</t>
  </si>
  <si>
    <t>何艳丽</t>
  </si>
  <si>
    <t>410103197404093761</t>
  </si>
  <si>
    <t>郑州市二七区中原东路78号院33号楼附9号</t>
  </si>
  <si>
    <t>4F2-011</t>
  </si>
  <si>
    <t>维修基金1456元没有相关凭证，需补充材料</t>
  </si>
  <si>
    <t>申报的已付维修基金1456元需补充收据,原销控表无该数据</t>
  </si>
  <si>
    <t>A0523</t>
  </si>
  <si>
    <t>张优</t>
  </si>
  <si>
    <t>410381198703104066</t>
  </si>
  <si>
    <t>4F6-013</t>
  </si>
  <si>
    <t>2020-7-31</t>
  </si>
  <si>
    <t>河北问道1万元</t>
  </si>
  <si>
    <t>A0524</t>
  </si>
  <si>
    <t>张琳</t>
  </si>
  <si>
    <t>412726199112080043</t>
  </si>
  <si>
    <t>河南省郸城县城关镇支农路食源巷2胡同9号</t>
  </si>
  <si>
    <t>3FA-040</t>
  </si>
  <si>
    <t>A0525</t>
  </si>
  <si>
    <t>张艳</t>
  </si>
  <si>
    <t>412726199511166725</t>
  </si>
  <si>
    <t>河南省郸城县巴集乡早岗行政村何寨村001号</t>
  </si>
  <si>
    <t>13525706387/15225092718</t>
  </si>
  <si>
    <t>3FA-041</t>
  </si>
  <si>
    <t>A0527</t>
  </si>
  <si>
    <t>420984198208042068</t>
  </si>
  <si>
    <t>4F-161</t>
  </si>
  <si>
    <t>A0531</t>
  </si>
  <si>
    <t>高远/张潇琪</t>
  </si>
  <si>
    <t>4109011985100690010/410901199111045061</t>
  </si>
  <si>
    <t>郑州市金水区城东路108号</t>
  </si>
  <si>
    <t>18613711411</t>
  </si>
  <si>
    <t>3FB-085</t>
  </si>
  <si>
    <t>2018-12-12</t>
  </si>
  <si>
    <t>2018-12-1２</t>
  </si>
  <si>
    <t>由4FA-007调房至此</t>
  </si>
  <si>
    <t>A0532</t>
  </si>
  <si>
    <t>郭明苏</t>
  </si>
  <si>
    <t>41032119760110251X</t>
  </si>
  <si>
    <t>河南省偃师市城关镇商都东路68号</t>
  </si>
  <si>
    <t>1F8-143</t>
  </si>
  <si>
    <t>A0533</t>
  </si>
  <si>
    <t>高扬、李真真</t>
  </si>
  <si>
    <t>41038119840927403X、410381198612025020</t>
  </si>
  <si>
    <t>3F10-016</t>
  </si>
  <si>
    <t>2019-12-22</t>
  </si>
  <si>
    <t>A0534</t>
  </si>
  <si>
    <t>原拥军</t>
  </si>
  <si>
    <t>410802197309262514</t>
  </si>
  <si>
    <t>河南省焦作市解放区团结东街2号楼303号</t>
  </si>
  <si>
    <t>3F6-119</t>
  </si>
  <si>
    <t>2019-6-10</t>
  </si>
  <si>
    <t>A0535</t>
  </si>
  <si>
    <t>刘克亮</t>
  </si>
  <si>
    <t>412727197210102792</t>
  </si>
  <si>
    <t>郑州市金水区国基路102号院1号楼44号</t>
  </si>
  <si>
    <t>1F7-092</t>
  </si>
  <si>
    <t>A0536</t>
  </si>
  <si>
    <t>岳阳</t>
  </si>
  <si>
    <t>412281198807227817</t>
  </si>
  <si>
    <t>郑州市金水区文化路9号院2号</t>
  </si>
  <si>
    <t>1F5-013</t>
  </si>
  <si>
    <t>2020-6-17</t>
  </si>
  <si>
    <t>A0538</t>
  </si>
  <si>
    <t>张淑娜</t>
  </si>
  <si>
    <t>410105196401201024</t>
  </si>
  <si>
    <t>郑州市金水区纬五路10号院4号楼16号</t>
  </si>
  <si>
    <t>3F1-032</t>
  </si>
  <si>
    <t>2019-12-3</t>
  </si>
  <si>
    <t>2019-12-4</t>
  </si>
  <si>
    <t>A0540</t>
  </si>
  <si>
    <t>王位梅</t>
  </si>
  <si>
    <t>412725198509114247</t>
  </si>
  <si>
    <t>河南省鹿邑县试量镇胡小楼行政村肖庄</t>
  </si>
  <si>
    <t>15890002897</t>
  </si>
  <si>
    <t>4FA-087</t>
  </si>
  <si>
    <t>A0543</t>
  </si>
  <si>
    <t>徐少辉关荣申侯宝生</t>
  </si>
  <si>
    <t>412723198311236019</t>
  </si>
  <si>
    <t>郑州市二七区长江路128号院42-147</t>
  </si>
  <si>
    <t>15638856138 13676983361</t>
  </si>
  <si>
    <t>3F7-004 3F8-022 3F6-055</t>
  </si>
  <si>
    <t>徐少辉关荣申侯宝生三套合一套</t>
  </si>
  <si>
    <t>A0544</t>
  </si>
  <si>
    <t>李建青</t>
  </si>
  <si>
    <t>152629197803114522</t>
  </si>
  <si>
    <t>郑州市管城回族区二里岗街30号院2号楼91号</t>
  </si>
  <si>
    <t>3F5-037</t>
  </si>
  <si>
    <t>A0545</t>
  </si>
  <si>
    <t>王雁丽</t>
  </si>
  <si>
    <t>410102196801291525</t>
  </si>
  <si>
    <t>郑州市中原区前进路21号楼8号</t>
  </si>
  <si>
    <t>3F5-087</t>
  </si>
  <si>
    <t>A0547</t>
  </si>
  <si>
    <t>李波、栗保玲</t>
  </si>
  <si>
    <t>410102198301181011，410105195612311640</t>
  </si>
  <si>
    <t>郑州市中原区绿化西街1号楼2单元7号</t>
  </si>
  <si>
    <t>4FA-174</t>
  </si>
  <si>
    <t>2019-1-24</t>
  </si>
  <si>
    <t>A0548</t>
  </si>
  <si>
    <t>冯亚晖</t>
  </si>
  <si>
    <t>41102319730517652X</t>
  </si>
  <si>
    <t>河南省许昌市魏都区南环路办事处解放路4号附69号</t>
  </si>
  <si>
    <t>1F8-004</t>
  </si>
  <si>
    <t>2019-8-3</t>
  </si>
  <si>
    <t>2019-8-23</t>
  </si>
  <si>
    <t>A0549</t>
  </si>
  <si>
    <t>白桦</t>
  </si>
  <si>
    <t>410305197807241531</t>
  </si>
  <si>
    <t>郑州市中原区桐柏南路万福花苑22号</t>
  </si>
  <si>
    <t>4F2-029</t>
  </si>
  <si>
    <t>A0550</t>
  </si>
  <si>
    <t>郭金娇</t>
  </si>
  <si>
    <t>410325197112021546</t>
  </si>
  <si>
    <t>河南省嵩县城关镇永安街7号</t>
  </si>
  <si>
    <t>1F2-050</t>
  </si>
  <si>
    <t>A0552</t>
  </si>
  <si>
    <t>郭爱变</t>
  </si>
  <si>
    <t>410325197903061587</t>
  </si>
  <si>
    <t>河南省嵩县城关镇建设路75号院</t>
  </si>
  <si>
    <t>1F2-049</t>
  </si>
  <si>
    <t>2019-9-20</t>
  </si>
  <si>
    <t>A0553</t>
  </si>
  <si>
    <t>郭利芹</t>
  </si>
  <si>
    <t>410325197312121568</t>
  </si>
  <si>
    <t>河南省嵩县库区乡万安村十二组6号</t>
  </si>
  <si>
    <t>1F2-043</t>
  </si>
  <si>
    <t>河北问道12.8万元</t>
  </si>
  <si>
    <t>A0554</t>
  </si>
  <si>
    <t>曹振
李梦琪</t>
  </si>
  <si>
    <t>410105198505100101
410105198503120275</t>
  </si>
  <si>
    <t>郑州市金水区金水河路15号院2号楼16号</t>
  </si>
  <si>
    <t>4F5-021</t>
  </si>
  <si>
    <t>王烨</t>
  </si>
  <si>
    <t>A0555</t>
  </si>
  <si>
    <t>王笑风</t>
  </si>
  <si>
    <t>370105197408013335</t>
  </si>
  <si>
    <t>郑州市二七区陇海中路70号</t>
  </si>
  <si>
    <t>4F5-030</t>
  </si>
  <si>
    <t>2020-6-30</t>
  </si>
  <si>
    <t>A0556</t>
  </si>
  <si>
    <t>陆岩</t>
  </si>
  <si>
    <t>411324198909101016</t>
  </si>
  <si>
    <t>河南省镇平县柳泉铺乡黄楝树岗村白石头庄第三组84号</t>
  </si>
  <si>
    <t>1F7-041</t>
  </si>
  <si>
    <t>A0557</t>
  </si>
  <si>
    <t>张建明</t>
  </si>
  <si>
    <t>410802196809132025</t>
  </si>
  <si>
    <t>河南省焦作市山阳区解放东路清雅小区1号楼9号</t>
  </si>
  <si>
    <t>3F2-004
3F2-005</t>
  </si>
  <si>
    <t>23.7 22.17</t>
  </si>
  <si>
    <t>A0558</t>
  </si>
  <si>
    <t>刘卫红</t>
  </si>
  <si>
    <t>410105197002031026</t>
  </si>
  <si>
    <t>郑州市金水区纬五路12号院7号楼33号</t>
  </si>
  <si>
    <t>4F4-062</t>
  </si>
  <si>
    <t>高博</t>
  </si>
  <si>
    <t>恒祥实业205200元；河北问道22800元</t>
  </si>
  <si>
    <t>A0559</t>
  </si>
  <si>
    <t>杨媛</t>
  </si>
  <si>
    <t>620302198908230422</t>
  </si>
  <si>
    <t>甘肃省金昌市金川区龙门里7栋2单元11号</t>
  </si>
  <si>
    <t>3F6-060</t>
  </si>
  <si>
    <t>A0560-1</t>
  </si>
  <si>
    <t>郭素琴</t>
  </si>
  <si>
    <t>412924197005033128</t>
  </si>
  <si>
    <t>河南省南阳市宛城区官庄镇油田泰山区16号楼3单元501室</t>
  </si>
  <si>
    <t>1F7-011</t>
  </si>
  <si>
    <t>A0560-2</t>
  </si>
  <si>
    <t>1F8-074</t>
  </si>
  <si>
    <t>2019-8-27</t>
  </si>
  <si>
    <t>从1F6-103调房至此</t>
  </si>
  <si>
    <t>A0563</t>
  </si>
  <si>
    <t>刘培茹</t>
  </si>
  <si>
    <t>41082319851123664X</t>
  </si>
  <si>
    <t>4FA-075</t>
  </si>
  <si>
    <t>贺金凤更名卢佳琪、祖孙，芦佳琪更刘培茹（母女）</t>
  </si>
  <si>
    <t>A0565</t>
  </si>
  <si>
    <t>杨少培</t>
  </si>
  <si>
    <t>410182199003101446</t>
  </si>
  <si>
    <t>河南省新密市超化镇申沟村龙尾沟53号</t>
  </si>
  <si>
    <t>17303826800/17734826800</t>
  </si>
  <si>
    <t>4F4-081</t>
  </si>
  <si>
    <t>A0566</t>
  </si>
  <si>
    <t>褚晓燕</t>
  </si>
  <si>
    <t>412926197611014528</t>
  </si>
  <si>
    <t>河南省内乡县赵店乡红堰村前场1号</t>
  </si>
  <si>
    <t>3F8-051</t>
  </si>
  <si>
    <t>A0568</t>
  </si>
  <si>
    <t>徐爽</t>
  </si>
  <si>
    <t>410521198805010268</t>
  </si>
  <si>
    <t>河南省林州市西券南街50红啊</t>
  </si>
  <si>
    <t>15226123111</t>
  </si>
  <si>
    <t>1FA-166</t>
  </si>
  <si>
    <t>2019-2-16</t>
  </si>
  <si>
    <t>2019-2-19</t>
  </si>
  <si>
    <t>A0569</t>
  </si>
  <si>
    <t>宋丽芳</t>
  </si>
  <si>
    <t>410225198207286626</t>
  </si>
  <si>
    <t>郑州市金水区岗杜街256号</t>
  </si>
  <si>
    <t>3F2-057</t>
  </si>
  <si>
    <t>陈金鑫更</t>
  </si>
  <si>
    <t>A0573</t>
  </si>
  <si>
    <t>屈敏</t>
  </si>
  <si>
    <t>412821198004010070</t>
  </si>
  <si>
    <t>郑州市二七区康复前街48号院2-8</t>
  </si>
  <si>
    <t>4F4-065</t>
  </si>
  <si>
    <t>A0575</t>
  </si>
  <si>
    <t>卢瑶</t>
  </si>
  <si>
    <t>410182199311280343</t>
  </si>
  <si>
    <t>河南省新密市青屏街办事处回春巷1排3号楼103号</t>
  </si>
  <si>
    <t>4F4-003</t>
  </si>
  <si>
    <t>由4F6-058调房至此</t>
  </si>
  <si>
    <t>A0576</t>
  </si>
  <si>
    <t>卢一铭</t>
  </si>
  <si>
    <t>410182199809060372</t>
  </si>
  <si>
    <t>4F4-002</t>
  </si>
  <si>
    <t>由4F4-004调房至此</t>
  </si>
  <si>
    <t>A0584</t>
  </si>
  <si>
    <t>李东东
赵娜</t>
  </si>
  <si>
    <t>41010219921001022X
410108198202252521</t>
  </si>
  <si>
    <t>郑州市中原区桐柏南路95号院9号楼1单元11号</t>
  </si>
  <si>
    <t>13683717850、15890093536</t>
  </si>
  <si>
    <t>3F6-116</t>
  </si>
  <si>
    <t>A0585</t>
  </si>
  <si>
    <t>罗启臣</t>
  </si>
  <si>
    <t>412702196308067436</t>
  </si>
  <si>
    <t>河南省项城市工业南路西6胡同7号</t>
  </si>
  <si>
    <t>4FA-149</t>
  </si>
  <si>
    <t>2019-1-13</t>
  </si>
  <si>
    <t>2019-1-14</t>
  </si>
  <si>
    <t>A0586</t>
  </si>
  <si>
    <t>贾非</t>
  </si>
  <si>
    <t>410104198004151521</t>
  </si>
  <si>
    <t>郑州市金水区经北二路北11号院</t>
  </si>
  <si>
    <t>3F8-099</t>
  </si>
  <si>
    <t>2020-7-6</t>
  </si>
  <si>
    <t>A0587</t>
  </si>
  <si>
    <t>张胜</t>
  </si>
  <si>
    <t>410221197912241810</t>
  </si>
  <si>
    <t>河南省杞县邢口北村四组</t>
  </si>
  <si>
    <t>447</t>
  </si>
  <si>
    <t>4F10-001</t>
  </si>
  <si>
    <t>2020-9-16</t>
  </si>
  <si>
    <t>由4210调房至此</t>
  </si>
  <si>
    <t>A0592</t>
  </si>
  <si>
    <t>贺新伟</t>
  </si>
  <si>
    <t>410702197509031010</t>
  </si>
  <si>
    <t>郑州市金水区经八路2号</t>
  </si>
  <si>
    <t>15537176255/15837172978</t>
  </si>
  <si>
    <t>4FA-089</t>
  </si>
  <si>
    <t>2019-2-13</t>
  </si>
  <si>
    <t>A0593</t>
  </si>
  <si>
    <t>阮观胜/王逆</t>
  </si>
  <si>
    <t>420123198303215637/420116198501155627</t>
  </si>
  <si>
    <t>武汉市黄陂区武湖农场五通口新区五通口西区7巷8号</t>
  </si>
  <si>
    <t>2FA-015</t>
  </si>
  <si>
    <t>A0595</t>
  </si>
  <si>
    <t>吕亮红
岳华珍</t>
  </si>
  <si>
    <t>341221198906060850</t>
  </si>
  <si>
    <t>安徽省临泉县于寨镇高庄行政村丁楼村60号</t>
  </si>
  <si>
    <t>18930378570、13123738570</t>
  </si>
  <si>
    <t>4F4-004</t>
  </si>
  <si>
    <t>2020-7-13</t>
  </si>
  <si>
    <t>A0596</t>
  </si>
  <si>
    <t>李伟</t>
  </si>
  <si>
    <t>410825198606307538</t>
  </si>
  <si>
    <t>河南省温县温泉镇永兴街六巷2红号</t>
  </si>
  <si>
    <t>3F5-002</t>
  </si>
  <si>
    <t>2019-11-18</t>
  </si>
  <si>
    <t>2019-11-20</t>
  </si>
  <si>
    <t>A0597</t>
  </si>
  <si>
    <t>靳青丽</t>
  </si>
  <si>
    <t>410183198709242082</t>
  </si>
  <si>
    <t>郑州市高新技术开发区电厂路27号院2号楼1单元12号</t>
  </si>
  <si>
    <t>4FA-105</t>
  </si>
  <si>
    <t>A0599</t>
  </si>
  <si>
    <t>李柄宏</t>
  </si>
  <si>
    <t>410105201205120490</t>
  </si>
  <si>
    <t>3FA-123</t>
  </si>
  <si>
    <t>董长杰更名李炳宏</t>
  </si>
  <si>
    <t>A0600</t>
  </si>
  <si>
    <t>刘正强</t>
  </si>
  <si>
    <t>410482196302181012</t>
  </si>
  <si>
    <t>河南省汝河市临汝镇白土泉村5号院126号</t>
  </si>
  <si>
    <t>3F9-013</t>
  </si>
  <si>
    <t>A0603</t>
  </si>
  <si>
    <t>赵丽</t>
  </si>
  <si>
    <t>413023197406281769</t>
  </si>
  <si>
    <t>郑州市中原区嵩山北路306号院3号楼9号</t>
  </si>
  <si>
    <t>4FA-031</t>
  </si>
  <si>
    <t>A0604</t>
  </si>
  <si>
    <t>秦龙</t>
  </si>
  <si>
    <t>410603198305021019</t>
  </si>
  <si>
    <t>3F6-069</t>
  </si>
  <si>
    <t>A0605</t>
  </si>
  <si>
    <t>贺向利</t>
  </si>
  <si>
    <t>410183197601120521</t>
  </si>
  <si>
    <t>河南省荥阳市京城办曹李村曹李671号</t>
  </si>
  <si>
    <t>4F4-006</t>
  </si>
  <si>
    <t>A0606</t>
  </si>
  <si>
    <t>赵冰冰</t>
  </si>
  <si>
    <t>41100219890616202X</t>
  </si>
  <si>
    <t>郑州市金水区南阳路239号9号楼21号</t>
  </si>
  <si>
    <t>4F4-045</t>
  </si>
  <si>
    <t>A0607</t>
  </si>
  <si>
    <t>郎玉新</t>
  </si>
  <si>
    <t xml:space="preserve">410782196912020810
</t>
  </si>
  <si>
    <t>河南省辉县市胡桥乡胡桥村</t>
  </si>
  <si>
    <t>13598623822
15516530330</t>
  </si>
  <si>
    <t>3F6-017</t>
  </si>
  <si>
    <t>原总房价优惠5000元后单价改变；2020.7.10由郎玉新、郎会鹏更名为郎玉新，房源由3F6-017变更为3层3270</t>
  </si>
  <si>
    <t>郎玉新申报房款296467元（附收据），比销控表少3382元</t>
  </si>
  <si>
    <t>A0608</t>
  </si>
  <si>
    <t>赵喜民</t>
  </si>
  <si>
    <t>411002195810102053</t>
  </si>
  <si>
    <t>郑州市管城回族区城东路94号院11号楼36号</t>
  </si>
  <si>
    <t>4F4-044</t>
  </si>
  <si>
    <t>A0609</t>
  </si>
  <si>
    <t>张建华</t>
  </si>
  <si>
    <t>412722198505171042</t>
  </si>
  <si>
    <t>郑州市中原区建设西路100号院12号楼3单元5号</t>
  </si>
  <si>
    <t>15378716904</t>
  </si>
  <si>
    <t>3FB-190</t>
  </si>
  <si>
    <t>2019-1-21</t>
  </si>
  <si>
    <t>A0610</t>
  </si>
  <si>
    <t>王喜娥</t>
  </si>
  <si>
    <t>410126197101142524</t>
  </si>
  <si>
    <t>郑州市中原区中原西路137号院66号楼2单元702号</t>
  </si>
  <si>
    <t>1F2-039</t>
  </si>
  <si>
    <t>9.15需补200000。12.15需补200000</t>
  </si>
  <si>
    <t>A0611</t>
  </si>
  <si>
    <t>高晶晶</t>
  </si>
  <si>
    <t>410523198812087629</t>
  </si>
  <si>
    <t>郑州市管城回族区尚德路9号1号楼1104号</t>
  </si>
  <si>
    <t>2FA-077</t>
  </si>
  <si>
    <t>A0612</t>
  </si>
  <si>
    <t>秦中华</t>
  </si>
  <si>
    <t>411627198202183316</t>
  </si>
  <si>
    <t>河南省太康县清集乡西扶村</t>
  </si>
  <si>
    <t>1F2-093</t>
  </si>
  <si>
    <t>2019-6-4</t>
  </si>
  <si>
    <t>A0613</t>
  </si>
  <si>
    <t>周晓华</t>
  </si>
  <si>
    <t>411122198706168225</t>
  </si>
  <si>
    <t>河南省临颍县杜曲镇周庄村286号</t>
  </si>
  <si>
    <t>3F7-011</t>
  </si>
  <si>
    <t>A0614</t>
  </si>
  <si>
    <t>李周洋</t>
  </si>
  <si>
    <t>410108200101260012</t>
  </si>
  <si>
    <t>郑州市金水区花园北路59号院64号楼11号</t>
  </si>
  <si>
    <t>3F5-010</t>
  </si>
  <si>
    <t>A0617</t>
  </si>
  <si>
    <t>410103198512210034</t>
  </si>
  <si>
    <t>郑州市二七区兴华北街16号院3号楼2单元1601号</t>
  </si>
  <si>
    <t>13721405554、13674953288</t>
  </si>
  <si>
    <t>1F8-069</t>
  </si>
  <si>
    <t>2020-7-14</t>
  </si>
  <si>
    <t>田启颖夫妻更</t>
  </si>
  <si>
    <t>A0618</t>
  </si>
  <si>
    <t>高瑞</t>
  </si>
  <si>
    <t>410728197212094065</t>
  </si>
  <si>
    <t>河南省长垣县武陟邱乡河自村</t>
  </si>
  <si>
    <t>1F6-006</t>
  </si>
  <si>
    <t>A0620</t>
  </si>
  <si>
    <t>李旺林</t>
  </si>
  <si>
    <t>412829196704174810</t>
  </si>
  <si>
    <t>河南省正阳县付寨乡双台村小邱村22号</t>
  </si>
  <si>
    <t>13783340545、17737509007</t>
  </si>
  <si>
    <t>2FA-021</t>
  </si>
  <si>
    <t>2020-6-12</t>
  </si>
  <si>
    <t>李帅更名</t>
  </si>
  <si>
    <t>A0623</t>
  </si>
  <si>
    <t>许娜</t>
  </si>
  <si>
    <t>411422198603024540</t>
  </si>
  <si>
    <t>河南省雎县尤吉屯乡王吉屯村46号</t>
  </si>
  <si>
    <t>4F5-022</t>
  </si>
  <si>
    <t>2020-1-5</t>
  </si>
  <si>
    <t>2020-1-11</t>
  </si>
  <si>
    <t>李秋芳已退完</t>
  </si>
  <si>
    <t>A0624</t>
  </si>
  <si>
    <t>魏唯亚</t>
  </si>
  <si>
    <t>411422199003214521</t>
  </si>
  <si>
    <t>河南省睢县尤吉屯乡王吉屯村16号</t>
  </si>
  <si>
    <t>3F6-050</t>
  </si>
  <si>
    <t>2019-10-10</t>
  </si>
  <si>
    <t>A0625</t>
  </si>
  <si>
    <t>魏俊伟</t>
  </si>
  <si>
    <t>411422199210134559</t>
  </si>
  <si>
    <t>河南省睢县尤吉屯乡王吉屯村09号</t>
  </si>
  <si>
    <t>4F5-046</t>
  </si>
  <si>
    <t>2019-10-12</t>
  </si>
  <si>
    <t>A0626</t>
  </si>
  <si>
    <t>张冬霞</t>
  </si>
  <si>
    <t>412821198812154428</t>
  </si>
  <si>
    <t>河南省确山县任店镇吕庄村委西杨冲组</t>
  </si>
  <si>
    <t>4F2-018</t>
  </si>
  <si>
    <t>A0627</t>
  </si>
  <si>
    <t>费海燕</t>
  </si>
  <si>
    <t>412724198105246423</t>
  </si>
  <si>
    <t>郑州市二七区长江中路108号院17号楼8号</t>
  </si>
  <si>
    <t>3F7-058</t>
  </si>
  <si>
    <t>A0629</t>
  </si>
  <si>
    <t>王澍湉</t>
  </si>
  <si>
    <t>410184198610200022</t>
  </si>
  <si>
    <t>郑州市中原区桐柏南路98号院309号楼2507号</t>
  </si>
  <si>
    <t>3F5-060</t>
  </si>
  <si>
    <t>2020-12-5</t>
  </si>
  <si>
    <t>原3F5-060调至此</t>
  </si>
  <si>
    <t>A0633</t>
  </si>
  <si>
    <t>刘娟</t>
  </si>
  <si>
    <t>410103198411060081</t>
  </si>
  <si>
    <t>郑州市二七区马寨镇马寨村256号</t>
  </si>
  <si>
    <t>3F2-006</t>
  </si>
  <si>
    <t>A0635</t>
  </si>
  <si>
    <t>张江阳</t>
  </si>
  <si>
    <t>411023199010010572</t>
  </si>
  <si>
    <t>河南省许昌县张潘镇盆李南村</t>
  </si>
  <si>
    <t>3F10-013</t>
  </si>
  <si>
    <t>A0638</t>
  </si>
  <si>
    <t>陈惠华</t>
  </si>
  <si>
    <t>410104196404043029</t>
  </si>
  <si>
    <t>郑州市中原区中原东路151号附3号</t>
  </si>
  <si>
    <t>3FA-026</t>
  </si>
  <si>
    <t>A0639</t>
  </si>
  <si>
    <t>毛锐</t>
  </si>
  <si>
    <t>412801198706151770</t>
  </si>
  <si>
    <t>河南省驻马店市驿城区顺河乡马堰村委小毛庄75号</t>
  </si>
  <si>
    <t>4FA-053</t>
  </si>
  <si>
    <t>A0642</t>
  </si>
  <si>
    <t>张瑜</t>
  </si>
  <si>
    <t>410105199303010199</t>
  </si>
  <si>
    <t>郑州市金水区南阳路217号2号楼23号</t>
  </si>
  <si>
    <t>1F8-043</t>
  </si>
  <si>
    <t>A0643</t>
  </si>
  <si>
    <t>周彦培</t>
  </si>
  <si>
    <t>410225199301272962</t>
  </si>
  <si>
    <t>河南省兰考县堌阳镇南关村七组</t>
  </si>
  <si>
    <t>3F6-079</t>
  </si>
  <si>
    <t>A0647</t>
  </si>
  <si>
    <t>赵宣杰</t>
  </si>
  <si>
    <t>41138119881101005X</t>
  </si>
  <si>
    <t>河南省邓州市古城街道办事处三贤路63号</t>
  </si>
  <si>
    <t>1F8-027</t>
  </si>
  <si>
    <t>2019-9-29</t>
  </si>
  <si>
    <t>2020-6-7</t>
  </si>
  <si>
    <t>A0648</t>
  </si>
  <si>
    <t>1F7-009</t>
  </si>
  <si>
    <t>2019-9-30</t>
  </si>
  <si>
    <t>江秋云挞定</t>
  </si>
  <si>
    <t>A0649</t>
  </si>
  <si>
    <t>王立志</t>
  </si>
  <si>
    <t>340621199007287870</t>
  </si>
  <si>
    <t>郑州市管城回族区黄家门3号楼3单元46号</t>
  </si>
  <si>
    <t>1F8-107</t>
  </si>
  <si>
    <t>A0653</t>
  </si>
  <si>
    <t>刘昂</t>
  </si>
  <si>
    <t>411425199308077547</t>
  </si>
  <si>
    <t>河南省虞城县城郊乡孙门楼村11号</t>
  </si>
  <si>
    <t>4F6-028</t>
  </si>
  <si>
    <t>A0654</t>
  </si>
  <si>
    <t>符佳</t>
  </si>
  <si>
    <t>411621199301080044</t>
  </si>
  <si>
    <t>河南省扶沟县城关镇寺后街</t>
  </si>
  <si>
    <t>3F7-116</t>
  </si>
  <si>
    <t>A0655</t>
  </si>
  <si>
    <t>符琦</t>
  </si>
  <si>
    <t>411621199501200039</t>
  </si>
  <si>
    <t>河南省周口市川汇区经济技术开发区张埠口村288号附1号</t>
  </si>
  <si>
    <t>3F6-054</t>
  </si>
  <si>
    <t>A0656</t>
  </si>
  <si>
    <t>王金梅</t>
  </si>
  <si>
    <t>412724198107131566</t>
  </si>
  <si>
    <t>河南省太康县杨庙乡轩庄农场轩庄</t>
  </si>
  <si>
    <t>1F8-013</t>
  </si>
  <si>
    <t>A0657</t>
  </si>
  <si>
    <t>张映钱</t>
  </si>
  <si>
    <t>642223198410282016</t>
  </si>
  <si>
    <t>郑州市金水区金水东路9号3号楼1115号</t>
  </si>
  <si>
    <t>3F10-012</t>
  </si>
  <si>
    <t>2019-12-14</t>
  </si>
  <si>
    <t>A0658</t>
  </si>
  <si>
    <t>赵瑞娜</t>
  </si>
  <si>
    <t>410223198712067026</t>
  </si>
  <si>
    <t>河南省尉氏县建设路所纱厂西路100付4号</t>
  </si>
  <si>
    <t>4F4-029</t>
  </si>
  <si>
    <t>A0659</t>
  </si>
  <si>
    <t>冀海霞</t>
  </si>
  <si>
    <t>411082197611028445</t>
  </si>
  <si>
    <t>河南省长葛市铁东路北段实验中学家属楼西单元401室</t>
  </si>
  <si>
    <t>3F5-052</t>
  </si>
  <si>
    <t>房屋面积增加5895元</t>
  </si>
  <si>
    <t>房屋面积增加5895元，附270224元收据和5895元刷卡条，共申报276119元。5895元冀海霞可能重复计算</t>
  </si>
  <si>
    <t>A0660</t>
  </si>
  <si>
    <t>陈建设</t>
  </si>
  <si>
    <t>410223198104098013</t>
  </si>
  <si>
    <t>河南省尉氏岗李乡寺下沈村六组</t>
  </si>
  <si>
    <t>3F9-071</t>
  </si>
  <si>
    <t>A0661</t>
  </si>
  <si>
    <t>许娟</t>
  </si>
  <si>
    <t>41102319850317612X</t>
  </si>
  <si>
    <t>郑州市金水区柳林镇刘庄梨园小区3号楼10号</t>
  </si>
  <si>
    <t>3F8-068</t>
  </si>
  <si>
    <t>A0662</t>
  </si>
  <si>
    <t>王赛南
武松涛</t>
  </si>
  <si>
    <t>410426199110012604
410426199010172053</t>
  </si>
  <si>
    <t>河南省襄城县颖阳镇管武村</t>
  </si>
  <si>
    <t>3F6-101</t>
  </si>
  <si>
    <t>A0663</t>
  </si>
  <si>
    <t>叶红娟</t>
  </si>
  <si>
    <t>411526198608177045</t>
  </si>
  <si>
    <t>郑州市金水区经北二路11号</t>
  </si>
  <si>
    <t>3F5-063</t>
  </si>
  <si>
    <t>A0664</t>
  </si>
  <si>
    <t>李志磊</t>
  </si>
  <si>
    <t>411023199101020514</t>
  </si>
  <si>
    <t>3F10-034</t>
  </si>
  <si>
    <t>A0667</t>
  </si>
  <si>
    <t>汪兵</t>
  </si>
  <si>
    <t>410105196803284504</t>
  </si>
  <si>
    <t>郑州市金水区经五路35号院1号楼26号</t>
  </si>
  <si>
    <t>4F3-016</t>
  </si>
  <si>
    <t>2020-9-14</t>
  </si>
  <si>
    <t>A0668</t>
  </si>
  <si>
    <t>荆体升</t>
  </si>
  <si>
    <t>412326197912180930</t>
  </si>
  <si>
    <t>河南省夏邑县业庙乡张各村荆楼62号</t>
  </si>
  <si>
    <t>2FA-093</t>
  </si>
  <si>
    <t>A0669</t>
  </si>
  <si>
    <t>郭素娜</t>
  </si>
  <si>
    <t>410426197202173027</t>
  </si>
  <si>
    <t>河南省许昌市魏都区七里店办事处延安路2号8号楼2单元8号</t>
  </si>
  <si>
    <t>3F9-072</t>
  </si>
  <si>
    <t>2019-8-13</t>
  </si>
  <si>
    <t>A0671</t>
  </si>
  <si>
    <t>张俊丽</t>
  </si>
  <si>
    <t>412721196301180320</t>
  </si>
  <si>
    <t>河南省扶沟县城关镇运河南路</t>
  </si>
  <si>
    <t>4FA-055</t>
  </si>
  <si>
    <t>2018-11-20</t>
  </si>
  <si>
    <t>恒祥实业（898410115201367、822491070131556）</t>
  </si>
  <si>
    <t>A0673</t>
  </si>
  <si>
    <t>李艳杰</t>
  </si>
  <si>
    <t>410621198301125016</t>
  </si>
  <si>
    <t>河南省浚县小河镇崔堡村94号</t>
  </si>
  <si>
    <t>1F8-018</t>
  </si>
  <si>
    <t>2020-7-7</t>
  </si>
  <si>
    <t>A0677</t>
  </si>
  <si>
    <t>蒋雨琴</t>
  </si>
  <si>
    <t>410102196603241543</t>
  </si>
  <si>
    <t>郑州市中原区六厂前街78号楼63号</t>
  </si>
  <si>
    <t>1F5-035</t>
  </si>
  <si>
    <t>2019-9-8</t>
  </si>
  <si>
    <t>A0678</t>
  </si>
  <si>
    <t>杜雪玲</t>
  </si>
  <si>
    <t>410901196402154504</t>
  </si>
  <si>
    <t>河南省濮阳市华龙区人民路73号院</t>
  </si>
  <si>
    <t>3F8-064</t>
  </si>
  <si>
    <t>A0679</t>
  </si>
  <si>
    <t>贾茹</t>
  </si>
  <si>
    <t>130903199906211524</t>
  </si>
  <si>
    <t>河北省沧州市运河区永济路第三塑料厂小区5栋3单元201号</t>
  </si>
  <si>
    <t>13643865380/18039119831</t>
  </si>
  <si>
    <t>1F7-073</t>
  </si>
  <si>
    <t>2020-8-22</t>
  </si>
  <si>
    <t>A0680</t>
  </si>
  <si>
    <t>潘艳涛</t>
  </si>
  <si>
    <t>411024198112100116</t>
  </si>
  <si>
    <t>郑州市中原区陇海西路169号附9号</t>
  </si>
  <si>
    <t>18638641825、15617791891/13526830325</t>
  </si>
  <si>
    <t>4FC-087</t>
  </si>
  <si>
    <t>A0681</t>
  </si>
  <si>
    <t>陈立新</t>
  </si>
  <si>
    <t>410105198511160090</t>
  </si>
  <si>
    <t>郑州市金水区经八路11号院7号楼5号</t>
  </si>
  <si>
    <t>1F7-096</t>
  </si>
  <si>
    <t>A0682</t>
  </si>
  <si>
    <t>张颖超</t>
  </si>
  <si>
    <t>410183198911306537</t>
  </si>
  <si>
    <t>河南省荥阳市崔庙镇白赵村龛脑260号</t>
  </si>
  <si>
    <t>4F9-003</t>
  </si>
  <si>
    <t>2019.11.1张文杰挞定</t>
  </si>
  <si>
    <t>A0683</t>
  </si>
  <si>
    <t>刘亚西
毛利民</t>
  </si>
  <si>
    <t>411381199006152666
410105198906050072</t>
  </si>
  <si>
    <t>郑州市金水区柳林镇弓庄25号</t>
  </si>
  <si>
    <t>3F8-125</t>
  </si>
  <si>
    <t>刘亚西计算申报金额为204059元，重复计算了流水22264元</t>
  </si>
  <si>
    <t>A0685</t>
  </si>
  <si>
    <t>张占伟</t>
  </si>
  <si>
    <t>410123197801233815</t>
  </si>
  <si>
    <t>河南省新郑市薛店镇小文正160号</t>
  </si>
  <si>
    <t>4F3-024</t>
  </si>
  <si>
    <t>张丽娟更兄妹</t>
  </si>
  <si>
    <t>A0686</t>
  </si>
  <si>
    <t>贾改红</t>
  </si>
  <si>
    <t>410185197801022048</t>
  </si>
  <si>
    <t>河南省登封市石道乡张沟村25号</t>
  </si>
  <si>
    <t>3F5-023</t>
  </si>
  <si>
    <t>2019-7-25</t>
  </si>
  <si>
    <t>A0687</t>
  </si>
  <si>
    <t>王素敏</t>
  </si>
  <si>
    <t>410185198304255582</t>
  </si>
  <si>
    <t>郑州市中原区中原西路131号院28号楼2单元7号</t>
  </si>
  <si>
    <t>3F6-113</t>
  </si>
  <si>
    <t>A0688</t>
  </si>
  <si>
    <t>连小景</t>
  </si>
  <si>
    <t>41108119881015926X</t>
  </si>
  <si>
    <t>河南省禹州市红星路均州机械厂院</t>
  </si>
  <si>
    <t>3F9-016</t>
  </si>
  <si>
    <t>A0690</t>
  </si>
  <si>
    <t>411325198401031965</t>
  </si>
  <si>
    <t>河南省唐河县桐乡大郭庄村大郭庄279号</t>
  </si>
  <si>
    <t>3F6-040</t>
  </si>
  <si>
    <t>A0692</t>
  </si>
  <si>
    <t>张素兰</t>
  </si>
  <si>
    <t>412728196507143423</t>
  </si>
  <si>
    <t>河南省沈丘县石槽乡王湖行政  村程庄369号</t>
  </si>
  <si>
    <t>3F5-012</t>
  </si>
  <si>
    <t>2020-9-6</t>
  </si>
  <si>
    <t>由3F5-012调至此</t>
  </si>
  <si>
    <t>A0694</t>
  </si>
  <si>
    <t>412825198606126720</t>
  </si>
  <si>
    <t>郑州市金水区经北二路北11号</t>
  </si>
  <si>
    <t>3F5-095</t>
  </si>
  <si>
    <t>2019-9-28</t>
  </si>
  <si>
    <t>2020-6-18</t>
  </si>
  <si>
    <t>A0695</t>
  </si>
  <si>
    <t>宋利敏</t>
  </si>
  <si>
    <t>410526198103082349</t>
  </si>
  <si>
    <t>河南省滑县道口镇解放路南路33号</t>
  </si>
  <si>
    <t>3FA-051</t>
  </si>
  <si>
    <t>A0698</t>
  </si>
  <si>
    <t>张萌萌</t>
  </si>
  <si>
    <t>41108119900916288X</t>
  </si>
  <si>
    <t>3F7-004</t>
  </si>
  <si>
    <t>预解押不可调</t>
  </si>
  <si>
    <t>A0699</t>
  </si>
  <si>
    <t>王涛</t>
  </si>
  <si>
    <t>410105198202251634</t>
  </si>
  <si>
    <t>郑州市二七区铁英街5号院新2号楼37号</t>
  </si>
  <si>
    <t>4FA-134</t>
  </si>
  <si>
    <t>2018-12-08</t>
  </si>
  <si>
    <t>销控表无维修基金和产权登记，资料中也无对应收据，需补充</t>
  </si>
  <si>
    <t>A0701</t>
  </si>
  <si>
    <t>41072419990212101X</t>
  </si>
  <si>
    <t>河南省获嘉县亢村镇刘固堤西街村中心街301号</t>
  </si>
  <si>
    <t>4FA-131</t>
  </si>
  <si>
    <t>A0704</t>
  </si>
  <si>
    <t>肖品</t>
  </si>
  <si>
    <t>411381198208126162</t>
  </si>
  <si>
    <t>河南省邓州市林扒镇林扒村林扒99号</t>
  </si>
  <si>
    <t>3F7-113</t>
  </si>
  <si>
    <t>A0706</t>
  </si>
  <si>
    <t>苏红英</t>
  </si>
  <si>
    <t>412323197512052922</t>
  </si>
  <si>
    <t>郑州市二七区中原东路78号院18号楼18号</t>
  </si>
  <si>
    <t>4FA-139</t>
  </si>
  <si>
    <t>高广宾更名</t>
  </si>
  <si>
    <t>A0707</t>
  </si>
  <si>
    <t>张哲</t>
  </si>
  <si>
    <t>412702198112095020</t>
  </si>
  <si>
    <t>郑州市金水区未来路办事处沈庄215号</t>
  </si>
  <si>
    <t>13938277161/15729378000</t>
  </si>
  <si>
    <t>4FC-041</t>
  </si>
  <si>
    <t>2020-8-2</t>
  </si>
  <si>
    <t>A0708</t>
  </si>
  <si>
    <t>米克军</t>
  </si>
  <si>
    <t>410426196308027015</t>
  </si>
  <si>
    <t>河南省襄城县紫云镇方庄</t>
  </si>
  <si>
    <t>1F8-176</t>
  </si>
  <si>
    <t>申报已付房款52万（附收据）；申报金额合计填写520190元（附转账记录），按收据金额认定</t>
  </si>
  <si>
    <t>A0710</t>
  </si>
  <si>
    <t>王艳丽</t>
  </si>
  <si>
    <t>411481198511081222</t>
  </si>
  <si>
    <t>河南省永城市高庄镇闫瓦房村张庄组036号</t>
  </si>
  <si>
    <t>1F8-053</t>
  </si>
  <si>
    <t>2019-10-27</t>
  </si>
  <si>
    <t>A0711</t>
  </si>
  <si>
    <t>刘菲菲</t>
  </si>
  <si>
    <t>413001198211072023</t>
  </si>
  <si>
    <t>郑州市金水区金水东路2号院9号楼3号</t>
  </si>
  <si>
    <t>3F1-112</t>
  </si>
  <si>
    <t>A0712</t>
  </si>
  <si>
    <t>李中华</t>
  </si>
  <si>
    <t>412724197605140014</t>
  </si>
  <si>
    <t>河南省太康县城关回族镇西大街路</t>
  </si>
  <si>
    <t>1F2-047</t>
  </si>
  <si>
    <t>A0714</t>
  </si>
  <si>
    <t>徐强</t>
  </si>
  <si>
    <t>412823198503294833</t>
  </si>
  <si>
    <t>郑州市中原区陇海西路169号附10号</t>
  </si>
  <si>
    <t>4F4-015</t>
  </si>
  <si>
    <t>A0716</t>
  </si>
  <si>
    <t>姜奇鹏</t>
  </si>
  <si>
    <t>412823199411166417</t>
  </si>
  <si>
    <t>郑州市管城回族区陇海东路56号2号楼10号</t>
  </si>
  <si>
    <t>1F2-044</t>
  </si>
  <si>
    <t>A0718</t>
  </si>
  <si>
    <t>朱福荣、刘慧艳</t>
  </si>
  <si>
    <t>410112195303063827、410105197808048441</t>
  </si>
  <si>
    <t>郑州市金水区祭城镇十里铺村192号</t>
  </si>
  <si>
    <t>1F6-034</t>
  </si>
  <si>
    <t>A0719</t>
  </si>
  <si>
    <t>刘天顺/刘洪超</t>
  </si>
  <si>
    <t>410112195911124478</t>
  </si>
  <si>
    <t>郑州市金水区红专北街8号院1号楼95号</t>
  </si>
  <si>
    <t>13803718877、13838385807</t>
  </si>
  <si>
    <t>4430</t>
  </si>
  <si>
    <t>4FA-043</t>
  </si>
  <si>
    <t>A0720</t>
  </si>
  <si>
    <t>王翠美</t>
  </si>
  <si>
    <t>239004197802024521</t>
  </si>
  <si>
    <t>郑州市金水区文化北路50号院1号楼1033号</t>
  </si>
  <si>
    <t>3F8-078</t>
  </si>
  <si>
    <t>2020-8-3</t>
  </si>
  <si>
    <t>A0723</t>
  </si>
  <si>
    <t>410922198304150025</t>
  </si>
  <si>
    <t>河南省濮阳市华龙区黄河路君安小区10号楼1单元5号</t>
  </si>
  <si>
    <t>3FA-114</t>
  </si>
  <si>
    <t>A0724</t>
  </si>
  <si>
    <t>李伟伟</t>
  </si>
  <si>
    <t>410183198512164324</t>
  </si>
  <si>
    <t>河南省中牟县雁鸣湖乡万庄村238号</t>
  </si>
  <si>
    <t>4F4-031</t>
  </si>
  <si>
    <t>2020-6-16</t>
  </si>
  <si>
    <t>A0725</t>
  </si>
  <si>
    <t>谢宇辰/陈锋</t>
  </si>
  <si>
    <t>411527198811130038/41302219631028004x</t>
  </si>
  <si>
    <t>郑州市金水区国基路99号院12号楼14号</t>
  </si>
  <si>
    <t>3FA-122</t>
  </si>
  <si>
    <t>2018-12-10</t>
  </si>
  <si>
    <t>2020-10-22</t>
  </si>
  <si>
    <t>A0726</t>
  </si>
  <si>
    <t>李义</t>
  </si>
  <si>
    <t>411302198004091847</t>
  </si>
  <si>
    <t>河南省唐河县滨河街道办事处新华社区居委会1360号</t>
  </si>
  <si>
    <t>18838955707、18317735373</t>
  </si>
  <si>
    <t>1F8-088</t>
  </si>
  <si>
    <t>2019-6-11</t>
  </si>
  <si>
    <t>A0731-1</t>
  </si>
  <si>
    <t>陈艳艳</t>
  </si>
  <si>
    <t>410311198103103028</t>
  </si>
  <si>
    <t>郑州市金水区北林路办事处徐砦村93号</t>
  </si>
  <si>
    <t>1F6-114</t>
  </si>
  <si>
    <t>A0731-2</t>
  </si>
  <si>
    <t>4F4-032</t>
  </si>
  <si>
    <t>A0732</t>
  </si>
  <si>
    <t>毕彦红</t>
  </si>
  <si>
    <t>412822198306035529</t>
  </si>
  <si>
    <t>郑州市惠济区迎宾路9号银通社区集体户1号</t>
  </si>
  <si>
    <t>1F2-066</t>
  </si>
  <si>
    <t>2019-5-24</t>
  </si>
  <si>
    <t>A0733</t>
  </si>
  <si>
    <t>梁艳娜</t>
  </si>
  <si>
    <t>410103198104014368</t>
  </si>
  <si>
    <t>郑州市二七区长江路办事处老代庄村东街50号</t>
  </si>
  <si>
    <t>3F8-034</t>
  </si>
  <si>
    <t>A0735</t>
  </si>
  <si>
    <t>崔素梅</t>
  </si>
  <si>
    <t>412727196211293469</t>
  </si>
  <si>
    <t>河南省淮阳县城关回族镇淮周路57号院3单元201号</t>
  </si>
  <si>
    <t>4F6-054</t>
  </si>
  <si>
    <t>2019-7-11</t>
  </si>
  <si>
    <t>从3F6-056调至此</t>
  </si>
  <si>
    <t>A0737</t>
  </si>
  <si>
    <t>李林</t>
  </si>
  <si>
    <t>410107198004140514</t>
  </si>
  <si>
    <t>郑州市中原区前进路81号院2号楼1单元2101号</t>
  </si>
  <si>
    <t>3F9-054</t>
  </si>
  <si>
    <t>2020-12-11</t>
  </si>
  <si>
    <t>A0738</t>
  </si>
  <si>
    <t>刘秀霞</t>
  </si>
  <si>
    <t>412702196709016525</t>
  </si>
  <si>
    <t>郑州市惠济区迎宾路办事处木马村57号</t>
  </si>
  <si>
    <t>15538369346</t>
  </si>
  <si>
    <t>4F6-020</t>
  </si>
  <si>
    <t>A0739</t>
  </si>
  <si>
    <t>黄宣朝</t>
  </si>
  <si>
    <t>411402195410160571</t>
  </si>
  <si>
    <t>郑州市金水区东风东路88号院29号楼1单元201号</t>
  </si>
  <si>
    <t>4F3-026</t>
  </si>
  <si>
    <t>2020-8-11</t>
  </si>
  <si>
    <t>A0740</t>
  </si>
  <si>
    <t>张建</t>
  </si>
  <si>
    <t>410103199703260071</t>
  </si>
  <si>
    <t>郑州市二七区长江路办事处老代庄村东街15号付1号</t>
  </si>
  <si>
    <t>3F8-001</t>
  </si>
  <si>
    <t>A0741</t>
  </si>
  <si>
    <t>翟宇隆</t>
  </si>
  <si>
    <t>410102198801250095</t>
  </si>
  <si>
    <t>15093109619</t>
  </si>
  <si>
    <t>1551</t>
  </si>
  <si>
    <t>31.3</t>
  </si>
  <si>
    <t>2017/1/14</t>
  </si>
  <si>
    <t>原销控表上写：给翟宇隆预留。没有收款信息，白国法兴业卡收款，小账显示返租73920元</t>
  </si>
  <si>
    <t>A0743</t>
  </si>
  <si>
    <t>吕金峰/孙丽</t>
  </si>
  <si>
    <t>372501196512280330</t>
  </si>
  <si>
    <t>山东省聊城市东昌府区恒昌街30号内2号楼1单元26室</t>
  </si>
  <si>
    <t>18663001971</t>
  </si>
  <si>
    <t>3FA-046</t>
  </si>
  <si>
    <t>A0745</t>
  </si>
  <si>
    <t>李自军</t>
  </si>
  <si>
    <t>410526197102239629</t>
  </si>
  <si>
    <t>郑州市金水区凤凰台办事处张庄村张庄283号</t>
  </si>
  <si>
    <t>1F8-162</t>
  </si>
  <si>
    <t>A0746</t>
  </si>
  <si>
    <t>白素静</t>
  </si>
  <si>
    <t>410103198312261945</t>
  </si>
  <si>
    <t>郑州市中原区伏牛路2224号院8号楼19号</t>
  </si>
  <si>
    <t>15938767457</t>
  </si>
  <si>
    <t>4F8-015</t>
  </si>
  <si>
    <t>A0748</t>
  </si>
  <si>
    <t>刘爱梅</t>
  </si>
  <si>
    <t>410104196810053521</t>
  </si>
  <si>
    <t>郑州市中原区中原西路办事处后牛庄大街33号附1号</t>
  </si>
  <si>
    <t>4F5-072</t>
  </si>
  <si>
    <t>2019-10-3</t>
  </si>
  <si>
    <t>A0749</t>
  </si>
  <si>
    <t>耿爱兰</t>
  </si>
  <si>
    <t>41012119680925156X</t>
  </si>
  <si>
    <t>郑州市金水区凤凰台办事处张庄村张庄138号</t>
  </si>
  <si>
    <t>15617738361</t>
  </si>
  <si>
    <t>1F8-108</t>
  </si>
  <si>
    <t>河北问道（8214910701300XL收108328元）；恒祥实业（104410115200584收313153元）</t>
  </si>
  <si>
    <t>A0750</t>
  </si>
  <si>
    <t>孙建芝、李珍珍</t>
  </si>
  <si>
    <t>410221196610172229</t>
  </si>
  <si>
    <t>13783993038\13598098121</t>
  </si>
  <si>
    <t>1FA-114</t>
  </si>
  <si>
    <t>2018-12-06</t>
  </si>
  <si>
    <t>2018-12-09</t>
  </si>
  <si>
    <t>A0755</t>
  </si>
  <si>
    <t>李朝阳</t>
  </si>
  <si>
    <t>4101841963112749018</t>
  </si>
  <si>
    <t>郑州市金水区国基路102号院4号楼27号</t>
  </si>
  <si>
    <t>15803807000</t>
  </si>
  <si>
    <t>3FA-100</t>
  </si>
  <si>
    <t>1年</t>
  </si>
  <si>
    <t>A0757</t>
  </si>
  <si>
    <t>付立君</t>
  </si>
  <si>
    <t>413024196708246717</t>
  </si>
  <si>
    <t>河南省潢川县白店乡杨围村付楼村民组20号</t>
  </si>
  <si>
    <t>15137188489</t>
  </si>
  <si>
    <t>1FA-013</t>
  </si>
  <si>
    <t>2020-7-22</t>
  </si>
  <si>
    <t>债权申报资料暂未填写，邮寄申报</t>
  </si>
  <si>
    <t>A0758</t>
  </si>
  <si>
    <t>苏芬</t>
  </si>
  <si>
    <t>412826195505030343</t>
  </si>
  <si>
    <t>河南省汝南县汝宁镇龙亭街17号街附10号</t>
  </si>
  <si>
    <t>13838253438、15839626158</t>
  </si>
  <si>
    <t>3F8-104</t>
  </si>
  <si>
    <t>A0762</t>
  </si>
  <si>
    <t>高超</t>
  </si>
  <si>
    <t>410184198704015653</t>
  </si>
  <si>
    <t>河南省新郑市和庄镇香坊吴158号</t>
  </si>
  <si>
    <t>3F8-038</t>
  </si>
  <si>
    <t>A0763</t>
  </si>
  <si>
    <t>张丛珍</t>
  </si>
  <si>
    <t>412902197610166801</t>
  </si>
  <si>
    <t>2FA-017</t>
  </si>
  <si>
    <t>A0765</t>
  </si>
  <si>
    <t>张强/黄艳蝶</t>
  </si>
  <si>
    <t>41272319851224041X</t>
  </si>
  <si>
    <t>河南省商水县城城关镇倪庄村九组</t>
  </si>
  <si>
    <t>4FA-052</t>
  </si>
  <si>
    <t>A0766</t>
  </si>
  <si>
    <t>王秀芳</t>
  </si>
  <si>
    <t>412726197603065463</t>
  </si>
  <si>
    <t>河南省郸城县东风乡张关庙行政村张关庙村071号</t>
  </si>
  <si>
    <t>15518184654</t>
  </si>
  <si>
    <t>1F7-057</t>
  </si>
  <si>
    <t>2020-9-3</t>
  </si>
  <si>
    <t>A0767-1</t>
  </si>
  <si>
    <t>412726198811185472</t>
  </si>
  <si>
    <t>河南省郸城县城关镇郸淮路51号</t>
  </si>
  <si>
    <t>1F7-058</t>
  </si>
  <si>
    <t>A0767-2</t>
  </si>
  <si>
    <t>1F8-073</t>
  </si>
  <si>
    <t>2019-7-24</t>
  </si>
  <si>
    <t>A0768</t>
  </si>
  <si>
    <t>孙俊娅</t>
  </si>
  <si>
    <t>410103197409072484</t>
  </si>
  <si>
    <t>郑州市金水区博颂路37号院1号楼50号</t>
  </si>
  <si>
    <t>4F3-029</t>
  </si>
  <si>
    <t>A0769</t>
  </si>
  <si>
    <t>翟秀花</t>
  </si>
  <si>
    <t>410126195404254145</t>
  </si>
  <si>
    <t>河南省新密市岳村镇赵寨村刘家门91号</t>
  </si>
  <si>
    <t>3F7-043</t>
  </si>
  <si>
    <t>A0771</t>
  </si>
  <si>
    <t>杨向前</t>
  </si>
  <si>
    <t>410221197911080816</t>
  </si>
  <si>
    <t>河南省杞县五里河乡坟角村203号</t>
  </si>
  <si>
    <t>19913789338/15515536696</t>
  </si>
  <si>
    <t>2FB-159</t>
  </si>
  <si>
    <t>2018-12-18</t>
  </si>
  <si>
    <t>A0772</t>
  </si>
  <si>
    <t>邢玉梁</t>
  </si>
  <si>
    <t>411422198511130952</t>
  </si>
  <si>
    <t>河南省睢县平岗镇岗下坡村118号</t>
  </si>
  <si>
    <t>4FA-147</t>
  </si>
  <si>
    <t>A0774</t>
  </si>
  <si>
    <t>雍甜甜</t>
  </si>
  <si>
    <t>61052119820701002X</t>
  </si>
  <si>
    <t>郑州市金水区翠花路73号39号楼18号</t>
  </si>
  <si>
    <t>3F4-013</t>
  </si>
  <si>
    <t>2019-10-1</t>
  </si>
  <si>
    <t>2020-8-20</t>
  </si>
  <si>
    <t>A0775</t>
  </si>
  <si>
    <t>田香丽</t>
  </si>
  <si>
    <t>41270219810908112X</t>
  </si>
  <si>
    <t>郑州市惠济区英才街6号院7号楼8号</t>
  </si>
  <si>
    <t>13383814229、13193456086</t>
  </si>
  <si>
    <t>3FA-088</t>
  </si>
  <si>
    <t>A0776</t>
  </si>
  <si>
    <t>王俊杰</t>
  </si>
  <si>
    <t>410121197903133812</t>
  </si>
  <si>
    <t>3F6-006</t>
  </si>
  <si>
    <t>A0779</t>
  </si>
  <si>
    <t>孙龙君</t>
  </si>
  <si>
    <t>410823198202131326</t>
  </si>
  <si>
    <t>河南省武陟县朝阳一路林园二巷22号</t>
  </si>
  <si>
    <t>1F6-031</t>
  </si>
  <si>
    <t>2019-5-6</t>
  </si>
  <si>
    <t>A0780</t>
  </si>
  <si>
    <t>周庆飞</t>
  </si>
  <si>
    <t>410621198905114510</t>
  </si>
  <si>
    <t>河南省浚县新镇镇李海屯村188号</t>
  </si>
  <si>
    <t>13283921911</t>
  </si>
  <si>
    <t>3FB-153</t>
  </si>
  <si>
    <t>2018-12-8</t>
  </si>
  <si>
    <t>A0781</t>
  </si>
  <si>
    <t>谢志鹏</t>
  </si>
  <si>
    <t>410802199502020014</t>
  </si>
  <si>
    <t>河南省辉县市太行大道901号城市花园G3幢1903室</t>
  </si>
  <si>
    <t>1F6-104</t>
  </si>
  <si>
    <t>A0782</t>
  </si>
  <si>
    <t>张宇衡</t>
  </si>
  <si>
    <t>411481198703111879</t>
  </si>
  <si>
    <t>广东省惠州市惠城区下角中路30号27栋302房</t>
  </si>
  <si>
    <t>1F8-164</t>
  </si>
  <si>
    <t>2020-1-4</t>
  </si>
  <si>
    <t>张宇衡申报填写总合计783079元</t>
  </si>
  <si>
    <t>A0783</t>
  </si>
  <si>
    <t>张强</t>
  </si>
  <si>
    <t>412328197405231812</t>
  </si>
  <si>
    <t>河南省永城市新城光明路中段百花小区6-3-102</t>
  </si>
  <si>
    <t>1F8-163</t>
  </si>
  <si>
    <t>张强申报填写总合计768796元</t>
  </si>
  <si>
    <t>A0784</t>
  </si>
  <si>
    <t>谢晨阳</t>
  </si>
  <si>
    <t>410802199303180306</t>
  </si>
  <si>
    <t>3F6-127</t>
  </si>
  <si>
    <t>2019-12-6</t>
  </si>
  <si>
    <t>A0785</t>
  </si>
  <si>
    <t>任文秀</t>
  </si>
  <si>
    <t>1422431199104035129</t>
  </si>
  <si>
    <t>郑州市二七区庆丰街17号院东福民社区1号</t>
  </si>
  <si>
    <t>15515913083</t>
  </si>
  <si>
    <t>3F9-041</t>
  </si>
  <si>
    <t>A0786</t>
  </si>
  <si>
    <t>刘朋飞</t>
  </si>
  <si>
    <t>411381198802131538</t>
  </si>
  <si>
    <t>郑州市金水区北环路57号1号楼705号</t>
  </si>
  <si>
    <t>4F6-049</t>
  </si>
  <si>
    <t>A0787</t>
  </si>
  <si>
    <t>王媛</t>
  </si>
  <si>
    <t>410102197408232523</t>
  </si>
  <si>
    <t>郑州市中原区互助路38号院1号楼1单元1506号</t>
  </si>
  <si>
    <t>13460308818</t>
  </si>
  <si>
    <t>3F4-010</t>
  </si>
  <si>
    <t>A0789</t>
  </si>
  <si>
    <t>郭凛</t>
  </si>
  <si>
    <t>410105199008160012</t>
  </si>
  <si>
    <t>郑州市金水区工二街51号楼1号</t>
  </si>
  <si>
    <t>13673666909</t>
  </si>
  <si>
    <t>4F9-030</t>
  </si>
  <si>
    <t>A0790</t>
  </si>
  <si>
    <t>魏松梅</t>
  </si>
  <si>
    <t>41232819680415184X</t>
  </si>
  <si>
    <t>郑州市金水区金水东路9号16号楼17号</t>
  </si>
  <si>
    <t>2020-5-11</t>
  </si>
  <si>
    <t>2020-5-12</t>
  </si>
  <si>
    <t>A0792</t>
  </si>
  <si>
    <t>黄晶</t>
  </si>
  <si>
    <t>410811198808040028</t>
  </si>
  <si>
    <t>郑州市金水区政一街1号院3号楼11号</t>
  </si>
  <si>
    <t>3F6-076</t>
  </si>
  <si>
    <t>2019-6-12</t>
  </si>
  <si>
    <t>A0793</t>
  </si>
  <si>
    <t>祝孟华</t>
  </si>
  <si>
    <t>41302619771216122X</t>
  </si>
  <si>
    <t>河南省固始县胡族铺镇夏岗村荒厂组35号</t>
  </si>
  <si>
    <t>4F4-071</t>
  </si>
  <si>
    <t>2019-8-20</t>
  </si>
  <si>
    <t>A0794-1</t>
  </si>
  <si>
    <t>党宇</t>
  </si>
  <si>
    <t>410102198701120074</t>
  </si>
  <si>
    <t>郑州市中原区汝河西路50号院2号楼3单元27号</t>
  </si>
  <si>
    <t>3F6-004</t>
  </si>
  <si>
    <t>2019-10-22</t>
  </si>
  <si>
    <t>A0794-2</t>
  </si>
  <si>
    <t>3F6-005</t>
  </si>
  <si>
    <t>A0795</t>
  </si>
  <si>
    <t>王洪涛</t>
  </si>
  <si>
    <t>412724198505108716</t>
  </si>
  <si>
    <t>河南省太康县城关回族镇向阳街</t>
  </si>
  <si>
    <t>1FA-043</t>
  </si>
  <si>
    <t>2018-10-29</t>
  </si>
  <si>
    <t>开盘前已认购</t>
  </si>
  <si>
    <t>A0797</t>
  </si>
  <si>
    <t>王泽宇</t>
  </si>
  <si>
    <t>410105198908090350</t>
  </si>
  <si>
    <t>郑州市金水区东路8号院7号楼72号</t>
  </si>
  <si>
    <t>4F9-037</t>
  </si>
  <si>
    <t>A0799-1</t>
  </si>
  <si>
    <t>牛留军</t>
  </si>
  <si>
    <t>410527197804195014</t>
  </si>
  <si>
    <t>河南省内黄县后河镇李后村144号</t>
  </si>
  <si>
    <t>153338285666</t>
  </si>
  <si>
    <t>4F4-012</t>
  </si>
  <si>
    <t>A0799-2</t>
  </si>
  <si>
    <t>4F4-013</t>
  </si>
  <si>
    <t>A0799-3</t>
  </si>
  <si>
    <t>4F4-014</t>
  </si>
  <si>
    <t>A0801</t>
  </si>
  <si>
    <t>杨纪英</t>
  </si>
  <si>
    <t>410105195407301080</t>
  </si>
  <si>
    <t>郑州市金水区园田路4号院3号楼19号</t>
  </si>
  <si>
    <t>3F7-053</t>
  </si>
  <si>
    <t>2019.5.6已补400000</t>
  </si>
  <si>
    <t>A0802</t>
  </si>
  <si>
    <t>李涛</t>
  </si>
  <si>
    <t>413027197906158455</t>
  </si>
  <si>
    <t>河南省商城县长竹园乡两河村坳上组</t>
  </si>
  <si>
    <t>1F7-091</t>
  </si>
  <si>
    <t>A0803</t>
  </si>
  <si>
    <t>王永菊</t>
  </si>
  <si>
    <t>410105197803251029</t>
  </si>
  <si>
    <t>郑州市金水区德亿路4号院8号楼11号</t>
  </si>
  <si>
    <t>3F1-086</t>
  </si>
  <si>
    <t>A0804</t>
  </si>
  <si>
    <t>刘云霞</t>
  </si>
  <si>
    <t>15637110736</t>
  </si>
  <si>
    <t>11.86</t>
  </si>
  <si>
    <t>3F7-106</t>
  </si>
  <si>
    <t>2万元为预约保留金，销控表无，账面显示已收款。销控表该房已有其他业主</t>
  </si>
  <si>
    <t>A0805</t>
  </si>
  <si>
    <t>白冉</t>
  </si>
  <si>
    <t>410108199211290049</t>
  </si>
  <si>
    <t>郑州市惠济区花园路口镇大庙村73号</t>
  </si>
  <si>
    <t>3FA-032</t>
  </si>
  <si>
    <t>A0806</t>
  </si>
  <si>
    <t>张心怡</t>
  </si>
  <si>
    <t>410105199108210080</t>
  </si>
  <si>
    <t>郑州市金水区经四路2号院1号楼5号</t>
  </si>
  <si>
    <t>4F4-019</t>
  </si>
  <si>
    <t>A0807</t>
  </si>
  <si>
    <t>柴述明</t>
  </si>
  <si>
    <t>420803198106235914</t>
  </si>
  <si>
    <t>郑州市金水区郑花路120号院2号楼1单元1001号</t>
  </si>
  <si>
    <t>3F2-003</t>
  </si>
  <si>
    <t>A0808</t>
  </si>
  <si>
    <t>王松、吴希群</t>
  </si>
  <si>
    <t>412323198010026438</t>
  </si>
  <si>
    <t>郑州市中原区冉囤路北路2号院1号楼2单元10号</t>
  </si>
  <si>
    <t>1F7-050</t>
  </si>
  <si>
    <t>A0810</t>
  </si>
  <si>
    <t>李巧敏</t>
  </si>
  <si>
    <t>411081199005186868</t>
  </si>
  <si>
    <t>河南省禹州市文珠镇绳李村8组</t>
  </si>
  <si>
    <t>1F8-070</t>
  </si>
  <si>
    <t>A0811</t>
  </si>
  <si>
    <t>徐弘智</t>
  </si>
  <si>
    <t>410105199702160151</t>
  </si>
  <si>
    <t>韩炎琴更</t>
  </si>
  <si>
    <t>A0813</t>
  </si>
  <si>
    <t>王慧芳</t>
  </si>
  <si>
    <t>410225199005111080</t>
  </si>
  <si>
    <t>河南省兰考县城关乡陈斗砦村二组</t>
  </si>
  <si>
    <t>3F2-056</t>
  </si>
  <si>
    <t>A0814</t>
  </si>
  <si>
    <t>王叶</t>
  </si>
  <si>
    <t>411325198807232978</t>
  </si>
  <si>
    <t>河南省唐河县张店镇南牛庄高庄4组14号</t>
  </si>
  <si>
    <t>17737716091</t>
  </si>
  <si>
    <t>2FB-151</t>
  </si>
  <si>
    <t>A0815</t>
  </si>
  <si>
    <t>周静</t>
  </si>
  <si>
    <t>41018319860404002X</t>
  </si>
  <si>
    <t>河南省荥阳市京城办塔山路谊阁花园1号楼9号</t>
  </si>
  <si>
    <t>3F5-084</t>
  </si>
  <si>
    <t>A0816</t>
  </si>
  <si>
    <t>韩功学</t>
  </si>
  <si>
    <t>510214197803181513</t>
  </si>
  <si>
    <t xml:space="preserve"> 郑州市二七区陇海中路91号</t>
  </si>
  <si>
    <t>3F9-059</t>
  </si>
  <si>
    <t>2019-10-29</t>
  </si>
  <si>
    <t>销控表登记为韩学功。2019.10.10提交退款申请</t>
  </si>
  <si>
    <t>A0817</t>
  </si>
  <si>
    <t>王晓明</t>
  </si>
  <si>
    <t>411121198512092529</t>
  </si>
  <si>
    <t>郑州市金水区沙口路1号院12号楼106号</t>
  </si>
  <si>
    <t>4F4-024</t>
  </si>
  <si>
    <t>A0818</t>
  </si>
  <si>
    <t>郑伟</t>
  </si>
  <si>
    <t>410103198612280072</t>
  </si>
  <si>
    <t>郑州市二七区大学中路９６号２号楼２０号</t>
  </si>
  <si>
    <t>4FA-084</t>
  </si>
  <si>
    <t>A0819</t>
  </si>
  <si>
    <t>陈慧霞</t>
  </si>
  <si>
    <t>410125197305100047</t>
  </si>
  <si>
    <t>河南省登封市嵩阳办事处观石街14巷2号</t>
  </si>
  <si>
    <t>1F8-141</t>
  </si>
  <si>
    <t>A0821</t>
  </si>
  <si>
    <t>尹新荣</t>
  </si>
  <si>
    <t>412821196101060020</t>
  </si>
  <si>
    <t>郑州市金水区文化路112号院8号楼150号</t>
  </si>
  <si>
    <t>1F7-080</t>
  </si>
  <si>
    <t>A0824</t>
  </si>
  <si>
    <t>曹佳</t>
  </si>
  <si>
    <t>410105197704251613</t>
  </si>
  <si>
    <t>郑州市金水区经六路4号院2号楼11号</t>
  </si>
  <si>
    <t>4F8-003</t>
  </si>
  <si>
    <t>A0825</t>
  </si>
  <si>
    <t>何琪</t>
  </si>
  <si>
    <t>412724199501060019</t>
  </si>
  <si>
    <t>河南省太康县城关回族镇岳王庙街26号</t>
  </si>
  <si>
    <t>4F1-093</t>
  </si>
  <si>
    <t>A0830</t>
  </si>
  <si>
    <t>范婧婧</t>
  </si>
  <si>
    <t>410103199611130069</t>
  </si>
  <si>
    <t>郑州市二七区陇海中路26号院1号楼2单元13B</t>
  </si>
  <si>
    <t>4F2-001</t>
  </si>
  <si>
    <t>从4F3-017调至此</t>
  </si>
  <si>
    <t>A0831</t>
  </si>
  <si>
    <t>马易嘉</t>
  </si>
  <si>
    <t>410103201211090280</t>
  </si>
  <si>
    <t>郑州市二七区马寨村31号</t>
  </si>
  <si>
    <t>4F2-017</t>
  </si>
  <si>
    <t>A0832</t>
  </si>
  <si>
    <t>代祖之</t>
  </si>
  <si>
    <t>413027196006154024</t>
  </si>
  <si>
    <t>郑州市金水区翠花路7号16号楼26号</t>
  </si>
  <si>
    <t>4F9-021</t>
  </si>
  <si>
    <t>从1F2-070调至此</t>
  </si>
  <si>
    <t>A0833</t>
  </si>
  <si>
    <t>420111198311054081</t>
  </si>
  <si>
    <t>4F9-022</t>
  </si>
  <si>
    <t>A0836</t>
  </si>
  <si>
    <t>胡孝连</t>
  </si>
  <si>
    <t>413026196603237243</t>
  </si>
  <si>
    <t>河南省固始县蒋集镇高棚村圩组</t>
  </si>
  <si>
    <t>4F1-123</t>
  </si>
  <si>
    <t>A0837</t>
  </si>
  <si>
    <t>徐瑞</t>
  </si>
  <si>
    <t>413026199008040327</t>
  </si>
  <si>
    <t>郑州市金水区柳林镇新庄</t>
  </si>
  <si>
    <t>4F1-117</t>
  </si>
  <si>
    <t>A0839</t>
  </si>
  <si>
    <t>张莉娜</t>
  </si>
  <si>
    <t>410411197911185544</t>
  </si>
  <si>
    <t>河北省三河市燕郊开发区大街风尚国际B号楼1单元3013室</t>
  </si>
  <si>
    <t>18574169253、18500075618</t>
  </si>
  <si>
    <t>3F5-029</t>
  </si>
  <si>
    <t>A0840</t>
  </si>
  <si>
    <t>介晓飞</t>
  </si>
  <si>
    <t>411282198205091073</t>
  </si>
  <si>
    <t>郑州市二七区长江东路6号院3号楼50号</t>
  </si>
  <si>
    <t>15515679926、13137723731</t>
  </si>
  <si>
    <t>4FA-135</t>
  </si>
  <si>
    <t>苑景娥夫妻更名</t>
  </si>
  <si>
    <t>A0841</t>
  </si>
  <si>
    <t>白如桦</t>
  </si>
  <si>
    <t>410182199006102137</t>
  </si>
  <si>
    <t>河南省新密市白寨镇东岗村线沟3号</t>
  </si>
  <si>
    <t>1F8-114</t>
  </si>
  <si>
    <t>2020-8-6</t>
  </si>
  <si>
    <t>恒祥实业315756，问道11万，郑州市捷诚汽车维修服务中心2万元</t>
  </si>
  <si>
    <t>A0842</t>
  </si>
  <si>
    <t>王方方、靳洪英</t>
  </si>
  <si>
    <t>412828198602175145、412828196507154884</t>
  </si>
  <si>
    <t>河南省新蔡县余店乡东王庄村委东王庄</t>
  </si>
  <si>
    <t>15705937292/17805937706</t>
  </si>
  <si>
    <t>3F6-034</t>
  </si>
  <si>
    <t>A0846</t>
  </si>
  <si>
    <t>李长远</t>
  </si>
  <si>
    <t>412829196606250031</t>
  </si>
  <si>
    <t>河南省正阳县真阳镇顺河街36-31-1号</t>
  </si>
  <si>
    <t>1F2-085</t>
  </si>
  <si>
    <t>A0847</t>
  </si>
  <si>
    <t>邓美艳</t>
  </si>
  <si>
    <t>412322196511190927</t>
  </si>
  <si>
    <t>河南省商丘市睢阳区新城办事处新村15号院16号楼5楼西户</t>
  </si>
  <si>
    <t>4F4-067</t>
  </si>
  <si>
    <t>A0848</t>
  </si>
  <si>
    <t>郭秋丽</t>
  </si>
  <si>
    <t>410802196708261522</t>
  </si>
  <si>
    <t>河南省焦作市解放区环城西路火电二公司东院19号楼3单元224号</t>
  </si>
  <si>
    <t>1F8-119</t>
  </si>
  <si>
    <t>2019-7-28</t>
  </si>
  <si>
    <t>恒祥实业34.46万，问道8.94万</t>
  </si>
  <si>
    <t>A0849</t>
  </si>
  <si>
    <t>丁运祥</t>
  </si>
  <si>
    <t>412328197511012218</t>
  </si>
  <si>
    <t>河南省永城市顺河乡高新庄村丁蔡园组061号</t>
  </si>
  <si>
    <t>2FA-137</t>
  </si>
  <si>
    <t>A0850</t>
  </si>
  <si>
    <t>杨婷</t>
  </si>
  <si>
    <t>412321197908074121</t>
  </si>
  <si>
    <t>河南省虞城县利民镇后沈村</t>
  </si>
  <si>
    <t>13938922610/18838987808</t>
  </si>
  <si>
    <t>4FA-144</t>
  </si>
  <si>
    <t>A0852-1</t>
  </si>
  <si>
    <t>崔新爱</t>
  </si>
  <si>
    <t>410112197011214928</t>
  </si>
  <si>
    <t>郑州市金水区柳林镇杓袁村82号院附2号</t>
  </si>
  <si>
    <t>1F6-098</t>
  </si>
  <si>
    <t>2019-12-10</t>
  </si>
  <si>
    <t>2019-12-11</t>
  </si>
  <si>
    <t>A0852-2</t>
  </si>
  <si>
    <t>1F6-099</t>
  </si>
  <si>
    <t>A0853</t>
  </si>
  <si>
    <t>张瑞利</t>
  </si>
  <si>
    <t>410482198303095967</t>
  </si>
  <si>
    <t>河南省平顶山市石龙区高庄工人村39号院</t>
  </si>
  <si>
    <t>3F6-016</t>
  </si>
  <si>
    <t>张瑞利在备注中写协议规定前三年的租金收益为购房款的24%，从所缴纳的房款中予以扣除。所以对2019年所抵房款的24%予以申报，24%抵扣房款为：762027*24%=182886.48元。
张瑞利在申报总合计栏里填的283007元</t>
  </si>
  <si>
    <t>A0855</t>
  </si>
  <si>
    <t>高瑞玲</t>
  </si>
  <si>
    <t>411381198102162683</t>
  </si>
  <si>
    <t>河南省邓州市穰东镇孙营西杨庄</t>
  </si>
  <si>
    <t>1F8-112</t>
  </si>
  <si>
    <t>A0859-2</t>
  </si>
  <si>
    <t>郑州市金水区健康路176号院1号楼60号</t>
  </si>
  <si>
    <t>3F8-020</t>
  </si>
  <si>
    <t>A0861</t>
  </si>
  <si>
    <t>刘强、刘毅</t>
  </si>
  <si>
    <t>410103196712192468
410305196302260564</t>
  </si>
  <si>
    <t>郑州市金水区纬五路30号院5号楼77号</t>
  </si>
  <si>
    <t>3F8-043</t>
  </si>
  <si>
    <t>A0862</t>
  </si>
  <si>
    <t>何海燕</t>
  </si>
  <si>
    <t>412724198902060023</t>
  </si>
  <si>
    <t>郑州市管城回族区东明路南58号院9号楼151号</t>
  </si>
  <si>
    <t>4F1-094</t>
  </si>
  <si>
    <t>A0863</t>
  </si>
  <si>
    <t>何丹</t>
  </si>
  <si>
    <t>412724199005150023</t>
  </si>
  <si>
    <t>河南省周口市川汇光荣路和谐家园13号楼2单元402室</t>
  </si>
  <si>
    <t>4F1-087</t>
  </si>
  <si>
    <t>A0864</t>
  </si>
  <si>
    <t>马山超</t>
  </si>
  <si>
    <t>410184197704100634</t>
  </si>
  <si>
    <t>河南省新郑市新华街办李唐庄二队168号</t>
  </si>
  <si>
    <t>4F4-085</t>
  </si>
  <si>
    <t>A0865</t>
  </si>
  <si>
    <t>颜利雅</t>
  </si>
  <si>
    <t>410328197912180528</t>
  </si>
  <si>
    <t>河南省洛宁县城关镇翔梧路北段</t>
  </si>
  <si>
    <t>3F8-017</t>
  </si>
  <si>
    <t>A0866</t>
  </si>
  <si>
    <t>周景文</t>
  </si>
  <si>
    <t>411024196610120794</t>
  </si>
  <si>
    <t>河南省鄢陵县马栏镇东章甫村161号</t>
  </si>
  <si>
    <t>3F8-024</t>
  </si>
  <si>
    <t>朱丽君3F8-012定金转入</t>
  </si>
  <si>
    <t>A0867-1</t>
  </si>
  <si>
    <t>雷瑞鹏</t>
  </si>
  <si>
    <t>41132719871215253x</t>
  </si>
  <si>
    <t>河南省内乡县王店镇雷沟村东5号</t>
  </si>
  <si>
    <t>3F7-034</t>
  </si>
  <si>
    <t>A0867-2</t>
  </si>
  <si>
    <t>3F7-035</t>
  </si>
  <si>
    <t>A0868</t>
  </si>
  <si>
    <t>闫海姣</t>
  </si>
  <si>
    <t>410782198312140922</t>
  </si>
  <si>
    <t>4F5-059</t>
  </si>
  <si>
    <t>A0869</t>
  </si>
  <si>
    <t>焦庆</t>
  </si>
  <si>
    <t>411282199011040520</t>
  </si>
  <si>
    <t>河南省灵宝市大王镇焦岭村2组101号</t>
  </si>
  <si>
    <t>4F2-019</t>
  </si>
  <si>
    <t>2019-10-18</t>
  </si>
  <si>
    <t>吕银浩挞定</t>
  </si>
  <si>
    <t>A0870</t>
  </si>
  <si>
    <t>王一达</t>
  </si>
  <si>
    <t>410105199406160130</t>
  </si>
  <si>
    <t>郑州市金水区胜岗村131号</t>
  </si>
  <si>
    <t>4FA-143</t>
  </si>
  <si>
    <t>A0872</t>
  </si>
  <si>
    <t>周鹏</t>
  </si>
  <si>
    <t>410102197908011014</t>
  </si>
  <si>
    <t>郑州市二七区淮北街18号2号楼32号</t>
  </si>
  <si>
    <t>1F2-094</t>
  </si>
  <si>
    <t>A0874</t>
  </si>
  <si>
    <t>王国平</t>
  </si>
  <si>
    <t>410105196302271019</t>
  </si>
  <si>
    <t>郑州市金水区黄河路10号院13号楼21号</t>
  </si>
  <si>
    <t>13838117570、13937112650</t>
  </si>
  <si>
    <t>4F1-096</t>
  </si>
  <si>
    <t>2020-5-16</t>
  </si>
  <si>
    <t>从3F2-018调至此</t>
  </si>
  <si>
    <t>A0875</t>
  </si>
  <si>
    <t>曹太岳</t>
  </si>
  <si>
    <t>372922198909236242</t>
  </si>
  <si>
    <t>山东省曹县堌集镇</t>
  </si>
  <si>
    <t>1F1-022</t>
  </si>
  <si>
    <t>A0877</t>
  </si>
  <si>
    <t>刘飞/葛乃通</t>
  </si>
  <si>
    <t>410821199509030062/410821199502161035</t>
  </si>
  <si>
    <t>河南省修武县郇封镇小文案村东18排21号</t>
  </si>
  <si>
    <t>3FA-037</t>
  </si>
  <si>
    <t>A0881</t>
  </si>
  <si>
    <t>刘彩霞</t>
  </si>
  <si>
    <t>410106197310200364</t>
  </si>
  <si>
    <t>3F5-007</t>
  </si>
  <si>
    <t>A0882</t>
  </si>
  <si>
    <t>薛志霞</t>
  </si>
  <si>
    <t>413024196411034545</t>
  </si>
  <si>
    <t>河南省潢川县桃林铺黄集村周窖组</t>
  </si>
  <si>
    <t>4FA-117</t>
  </si>
  <si>
    <t>薛志霞申报总合计金额填写599954元，属于计算错误</t>
  </si>
  <si>
    <t>A0883</t>
  </si>
  <si>
    <t>姜南</t>
  </si>
  <si>
    <t>220421198510111423</t>
  </si>
  <si>
    <t>郑州市金水区经八路12号院2号楼22号</t>
  </si>
  <si>
    <t>4F2-005</t>
  </si>
  <si>
    <t>A0884</t>
  </si>
  <si>
    <t>高树林</t>
  </si>
  <si>
    <t>413026197211010028</t>
  </si>
  <si>
    <t>河南省固始县城关镇五街大别山路28号</t>
  </si>
  <si>
    <t>18637606833</t>
  </si>
  <si>
    <t>4FA-116</t>
  </si>
  <si>
    <t>高树林114/115退，房款转至116</t>
  </si>
  <si>
    <t>A0885-1</t>
  </si>
  <si>
    <t>张雷</t>
  </si>
  <si>
    <t>410185198004171520</t>
  </si>
  <si>
    <t>郑州市金水区金水路305号院4号楼2单元1003号</t>
  </si>
  <si>
    <t>1F8-078</t>
  </si>
  <si>
    <t>A0885-2</t>
  </si>
  <si>
    <t>1F8-079</t>
  </si>
  <si>
    <t>A0885-3</t>
  </si>
  <si>
    <t>1F8-076</t>
  </si>
  <si>
    <t>A0886</t>
  </si>
  <si>
    <t>梁艳慧</t>
  </si>
  <si>
    <t>410103198902260184</t>
  </si>
  <si>
    <t>郑州市二七区长江路办事处老代庄村东街50附1号</t>
  </si>
  <si>
    <t>3F8-003</t>
  </si>
  <si>
    <t>A0888</t>
  </si>
  <si>
    <t>王文鹏</t>
  </si>
  <si>
    <t>410421198512043511</t>
  </si>
  <si>
    <t>郑州市金水区司家庄西街8号院2号楼2号</t>
  </si>
  <si>
    <t>3F1-085</t>
  </si>
  <si>
    <t>2019-12-9</t>
  </si>
  <si>
    <t>A0891</t>
  </si>
  <si>
    <t>董敬敬</t>
  </si>
  <si>
    <t>412701198202173524</t>
  </si>
  <si>
    <t>河南省周口市川汇区北郊乡下炉村298号</t>
  </si>
  <si>
    <t>3F6-112</t>
  </si>
  <si>
    <t>A0892</t>
  </si>
  <si>
    <t>乔知芹
胡晓东</t>
  </si>
  <si>
    <t>412328198310241246
412328198208288136</t>
  </si>
  <si>
    <t>河南省永城市王集乡王集村五组</t>
  </si>
  <si>
    <t>15082986929
15082986928</t>
  </si>
  <si>
    <t>1F8-100</t>
  </si>
  <si>
    <t>2019-11-15</t>
  </si>
  <si>
    <t>2020-5-2</t>
  </si>
  <si>
    <t>A0893</t>
  </si>
  <si>
    <t>王建平</t>
  </si>
  <si>
    <t>410102196301027058</t>
  </si>
  <si>
    <t>郑州市中原区友爱路55号院1号楼3层8号</t>
  </si>
  <si>
    <t>18637128911/18639976771</t>
  </si>
  <si>
    <t>4F3-008</t>
  </si>
  <si>
    <t>A0894</t>
  </si>
  <si>
    <t>郑佳和</t>
  </si>
  <si>
    <t>4101052002072000121</t>
  </si>
  <si>
    <t>郑州市金水区纬三路12号院6号楼11号</t>
  </si>
  <si>
    <t>3F7-063</t>
  </si>
  <si>
    <t>转河北问道59874元</t>
  </si>
  <si>
    <t>A0901</t>
  </si>
  <si>
    <t>贾高锋</t>
  </si>
  <si>
    <t>411024199207180758</t>
  </si>
  <si>
    <t>河南省鄢陵县马栏镇胡中村234号</t>
  </si>
  <si>
    <t>1F8-149</t>
  </si>
  <si>
    <t>A0902</t>
  </si>
  <si>
    <t>郭素华</t>
  </si>
  <si>
    <t>410781198109261220</t>
  </si>
  <si>
    <t>郑州市金水区鑫苑西路6号院20号楼122号</t>
  </si>
  <si>
    <t>3F9-056</t>
  </si>
  <si>
    <t>A0903</t>
  </si>
  <si>
    <t>杨耀霞</t>
  </si>
  <si>
    <t>412721198612030660</t>
  </si>
  <si>
    <t>郑州市惠济区惠民街6号院11号楼120号</t>
  </si>
  <si>
    <t>3F7-019</t>
  </si>
  <si>
    <t>A0904</t>
  </si>
  <si>
    <t>王义敏</t>
  </si>
  <si>
    <t>412727198411261305</t>
  </si>
  <si>
    <t>郑州市惠济区豫秦路9号院1号楼25号</t>
  </si>
  <si>
    <t>3F7-020</t>
  </si>
  <si>
    <t>A0905</t>
  </si>
  <si>
    <t>许雪华</t>
  </si>
  <si>
    <t>412721198302085826</t>
  </si>
  <si>
    <t>河南省扶沟县大李庄乡八里庙行政村八里庙村13号</t>
  </si>
  <si>
    <t>3F7-021</t>
  </si>
  <si>
    <t>A0906</t>
  </si>
  <si>
    <t>杜长安</t>
  </si>
  <si>
    <t>412721198010115878</t>
  </si>
  <si>
    <t>河南省扶沟县大李庄乡八里庙行政村八里庙村4号</t>
  </si>
  <si>
    <t>13903861792/18137130968</t>
  </si>
  <si>
    <t>3F7-018</t>
  </si>
  <si>
    <t>杨慧霞夫妻更名</t>
  </si>
  <si>
    <t>A0907</t>
  </si>
  <si>
    <t>贺泰兰 丁喜峰</t>
  </si>
  <si>
    <t>41292819660316038X</t>
  </si>
  <si>
    <t>河南省社旗县赊店镇中榆园街82号附20号</t>
  </si>
  <si>
    <t>4F2-009</t>
  </si>
  <si>
    <t>A0909</t>
  </si>
  <si>
    <t>王战校方雪姣</t>
  </si>
  <si>
    <t>41042619770517451X、410426198012244546</t>
  </si>
  <si>
    <t>河南省襄城县麦岭镇东坡方村2组</t>
  </si>
  <si>
    <t>4F3-005</t>
  </si>
  <si>
    <t>A0910</t>
  </si>
  <si>
    <t>张永平</t>
  </si>
  <si>
    <t>230604197312081085</t>
  </si>
  <si>
    <t>河南省南阳市宛城区官庄镇油田钻井公司家属院1号</t>
  </si>
  <si>
    <t>4F2-008</t>
  </si>
  <si>
    <t>A0912</t>
  </si>
  <si>
    <t>余桂红</t>
  </si>
  <si>
    <t>220104196908052644</t>
  </si>
  <si>
    <t>河南省洛阳市洛龙区关林镇关林北路97号院3栋4单元7楼1号</t>
  </si>
  <si>
    <t>13613896776</t>
  </si>
  <si>
    <t>3FB-156</t>
  </si>
  <si>
    <t>2019-3-13</t>
  </si>
  <si>
    <t>A0913</t>
  </si>
  <si>
    <t>张征</t>
  </si>
  <si>
    <t>410102198003123518</t>
  </si>
  <si>
    <t>郑州市高新技术开发区石佛镇孙庄村北一街12号付3号</t>
  </si>
  <si>
    <t>4F9-043</t>
  </si>
  <si>
    <t>李淑芳更夫妻</t>
  </si>
  <si>
    <t>A0914</t>
  </si>
  <si>
    <t>韩晶、刘宇</t>
  </si>
  <si>
    <t>410105198206071024/410103198004052412</t>
  </si>
  <si>
    <t>郑州市二七区交通路75号院4号楼2号</t>
  </si>
  <si>
    <t>4FC-110</t>
  </si>
  <si>
    <t>A0916</t>
  </si>
  <si>
    <t>张洪、赵凤丽</t>
  </si>
  <si>
    <t>410412196904201018、410481197306251020</t>
  </si>
  <si>
    <t>河南省舞钢市寺四街坊55号楼402号</t>
  </si>
  <si>
    <t>18237537599、13937558315</t>
  </si>
  <si>
    <t>1F6-060</t>
  </si>
  <si>
    <t>A0917</t>
  </si>
  <si>
    <t>宋昌江</t>
  </si>
  <si>
    <t>410928199101040072</t>
  </si>
  <si>
    <t>河南省濮阳县城关镇新兴街7号</t>
  </si>
  <si>
    <t>3FA-038</t>
  </si>
  <si>
    <t>宋昌江的合同显示房款565880元，申报总金额合计栏填写565880元；共提供收据566180元</t>
  </si>
  <si>
    <t>A0918</t>
  </si>
  <si>
    <t>左林、李扬</t>
  </si>
  <si>
    <t>411381199001246743、411381199103147156</t>
  </si>
  <si>
    <t>河南省邓州市构林镇前王村后王3组107号</t>
  </si>
  <si>
    <t>3F4-041</t>
  </si>
  <si>
    <t>A0922</t>
  </si>
  <si>
    <t>王清宇 王惜晨</t>
  </si>
  <si>
    <t>412928196307190031/411327200504190048</t>
  </si>
  <si>
    <t>河南省社旗县赊店镇红旗路15号附41号</t>
  </si>
  <si>
    <t>4F2-003</t>
  </si>
  <si>
    <t>A0924</t>
  </si>
  <si>
    <t>石春丽</t>
  </si>
  <si>
    <t>411403198604015145</t>
  </si>
  <si>
    <t>河南省辉县市孟庄镇前李固村三区47号</t>
  </si>
  <si>
    <t>13643817104/17654540558</t>
  </si>
  <si>
    <t>1568</t>
  </si>
  <si>
    <t>1F7-061</t>
  </si>
  <si>
    <t>2019-12-24</t>
  </si>
  <si>
    <t>2020-9-17</t>
  </si>
  <si>
    <t>A0925</t>
  </si>
  <si>
    <t>白丹</t>
  </si>
  <si>
    <t>412702198802067588</t>
  </si>
  <si>
    <t>郑州市金水区郑汴路127号院7号楼3单元2606号</t>
  </si>
  <si>
    <t>1F8-007</t>
  </si>
  <si>
    <t>A0926</t>
  </si>
  <si>
    <t>杜艳东 程志亮</t>
  </si>
  <si>
    <t>410121197409040020</t>
  </si>
  <si>
    <t>河南省登封市嵩阳办事处西关街12号</t>
  </si>
  <si>
    <t>4F1-090</t>
  </si>
  <si>
    <t>A0927</t>
  </si>
  <si>
    <t>郭玉沛 顾静敏</t>
  </si>
  <si>
    <t>412928196607100739</t>
  </si>
  <si>
    <t>河南省社旗县唐庄乡马庄村马庄</t>
  </si>
  <si>
    <t>4F2-026</t>
  </si>
  <si>
    <t>A0928</t>
  </si>
  <si>
    <t>郭正阳</t>
  </si>
  <si>
    <t>411329199602050732</t>
  </si>
  <si>
    <t>河南省社旗县唐庄乡马庄村马庄02</t>
  </si>
  <si>
    <t>4F2-010</t>
  </si>
  <si>
    <t>A0929</t>
  </si>
  <si>
    <t>王争争</t>
  </si>
  <si>
    <t>410482198303037724</t>
  </si>
  <si>
    <t>郑州市惠济区老鸦陈办事处杜庄村大街北9号</t>
  </si>
  <si>
    <t>4F3-010</t>
  </si>
  <si>
    <t>A0930</t>
  </si>
  <si>
    <t>朱娜</t>
  </si>
  <si>
    <t>410103197308060628</t>
  </si>
  <si>
    <t>郑州市二七区兴华南街6号楼17号</t>
  </si>
  <si>
    <t>4F6-025</t>
  </si>
  <si>
    <t>A0931</t>
  </si>
  <si>
    <t>余秀芝
朱文文</t>
  </si>
  <si>
    <t>412326196012070926</t>
  </si>
  <si>
    <t>3F9-074</t>
  </si>
  <si>
    <t>由3F7-003调至此</t>
  </si>
  <si>
    <t>A0932</t>
  </si>
  <si>
    <t>杨桂梅</t>
  </si>
  <si>
    <t>410728196907100025/41072819760722002X</t>
  </si>
  <si>
    <t>河南省长垣县蒲西区实验中学家属院/建设北路</t>
  </si>
  <si>
    <t>3FA-019</t>
  </si>
  <si>
    <t>杨景梅去名</t>
  </si>
  <si>
    <t>A0934</t>
  </si>
  <si>
    <t>赵国博</t>
  </si>
  <si>
    <t>412325197912156061</t>
  </si>
  <si>
    <t>河南省睢县匡城乡纸坊村69号</t>
  </si>
  <si>
    <t>2FA-133</t>
  </si>
  <si>
    <t>放弃2FA-140其中10万转为此房</t>
  </si>
  <si>
    <t>A0935</t>
  </si>
  <si>
    <t>郭璎玄</t>
  </si>
  <si>
    <t>412721198912060044</t>
  </si>
  <si>
    <t>郑州市经济技术开发区经南三路9号13号楼4单元1-2层13号</t>
  </si>
  <si>
    <t>3F8-132</t>
  </si>
  <si>
    <t>A0936</t>
  </si>
  <si>
    <t>冯妮妮</t>
  </si>
  <si>
    <t>610581198905041065</t>
  </si>
  <si>
    <t>陕西省韩城市芝阳镇芝阳村四组</t>
  </si>
  <si>
    <t>1F6-090</t>
  </si>
  <si>
    <t>A0939</t>
  </si>
  <si>
    <t>楚秋娟</t>
  </si>
  <si>
    <t>411081198804236361</t>
  </si>
  <si>
    <t>郑州市中原区秦岭路26号院阳光新城社区1号</t>
  </si>
  <si>
    <t>3FA-039</t>
  </si>
  <si>
    <t>A0940</t>
  </si>
  <si>
    <t>刘瑞宏</t>
  </si>
  <si>
    <t>412927197402122166</t>
  </si>
  <si>
    <t>郑州市金水区天明路1号</t>
  </si>
  <si>
    <t>3F9-011</t>
  </si>
  <si>
    <t>A0942</t>
  </si>
  <si>
    <t>郑芜芜</t>
  </si>
  <si>
    <t>410324198703102522</t>
  </si>
  <si>
    <t>郑州市管城回族区弓背街24号院4号楼2单元25号</t>
  </si>
  <si>
    <t>18538766615/15838313519</t>
  </si>
  <si>
    <t>4F5-012</t>
  </si>
  <si>
    <t>A0943</t>
  </si>
  <si>
    <t>罗利萍</t>
  </si>
  <si>
    <t>410821196908050526</t>
  </si>
  <si>
    <t>天津市宝坻区海滨街环城北路龙第世家花园27号楼1门602号</t>
  </si>
  <si>
    <t>13782850808/13253898288</t>
  </si>
  <si>
    <t>3F6-087</t>
  </si>
  <si>
    <t>2019-11-13</t>
  </si>
  <si>
    <t>A0944</t>
  </si>
  <si>
    <t>王广云 王沛泓</t>
  </si>
  <si>
    <t>412928196306021981</t>
  </si>
  <si>
    <t>河南省社旗县赊店镇建设路152号</t>
  </si>
  <si>
    <t>4F2-007</t>
  </si>
  <si>
    <t>合同出卖方为恒祥实业，落款盖章为恒祥房地产</t>
  </si>
  <si>
    <t>A0946</t>
  </si>
  <si>
    <t>乔凤鸣 顾金海</t>
  </si>
  <si>
    <t>410103197811031349</t>
  </si>
  <si>
    <t>郑州市中原区洛河路51号附5号</t>
  </si>
  <si>
    <t>4F9-039</t>
  </si>
  <si>
    <t>A0948</t>
  </si>
  <si>
    <t>张笑铭</t>
  </si>
  <si>
    <t>411025200805080038</t>
  </si>
  <si>
    <t>郑州市管城回族区未来路869号院2号楼205号</t>
  </si>
  <si>
    <t>2FA-092</t>
  </si>
  <si>
    <t>A0949</t>
  </si>
  <si>
    <t>贾丽娟</t>
  </si>
  <si>
    <t>411082198508133022</t>
  </si>
  <si>
    <t>4FA-076</t>
  </si>
  <si>
    <t>A0950</t>
  </si>
  <si>
    <t>杨红晓</t>
  </si>
  <si>
    <t>410185197911099839</t>
  </si>
  <si>
    <t>河南省登封市中岳街道办事处康村八组</t>
  </si>
  <si>
    <t>4F6-009</t>
  </si>
  <si>
    <t>A0951</t>
  </si>
  <si>
    <t>410103196005193226</t>
  </si>
  <si>
    <t>郑州市二七区幸福路14号院5号楼41号</t>
  </si>
  <si>
    <t>3F8-089</t>
  </si>
  <si>
    <t>A0952</t>
  </si>
  <si>
    <t>黄莉傈</t>
  </si>
  <si>
    <t>410121197903165822</t>
  </si>
  <si>
    <t>郑州市管城回族区城东路106号院4号楼28</t>
  </si>
  <si>
    <t>1F8-033</t>
  </si>
  <si>
    <t>A0955</t>
  </si>
  <si>
    <t>张淑彩</t>
  </si>
  <si>
    <t>410124195711301527</t>
  </si>
  <si>
    <t>河南省巩义市大峪沟镇钟岭村钟岭15号附2号</t>
  </si>
  <si>
    <t>1621</t>
  </si>
  <si>
    <t>1F7-081</t>
  </si>
  <si>
    <t>2019-7-18</t>
  </si>
  <si>
    <t>2020-7-1</t>
  </si>
  <si>
    <t>A0957</t>
  </si>
  <si>
    <t>杜文平</t>
  </si>
  <si>
    <t>410102196709201523</t>
  </si>
  <si>
    <t>郑州市中原区伏牛路130号院2号楼1号</t>
  </si>
  <si>
    <t>4FB-109</t>
  </si>
  <si>
    <t>A0958</t>
  </si>
  <si>
    <t>王慧瑜</t>
  </si>
  <si>
    <t>410103198505170046</t>
  </si>
  <si>
    <t>郑州市中原区桐柏南路98号院803号楼701号</t>
  </si>
  <si>
    <t>1F8-045</t>
  </si>
  <si>
    <t>2019-7-1</t>
  </si>
  <si>
    <t>2020-9-11</t>
  </si>
  <si>
    <t>A0959</t>
  </si>
  <si>
    <t>周怀丽</t>
  </si>
  <si>
    <t>412701198312212061</t>
  </si>
  <si>
    <t>郑州市中原区五厂一街16号楼附5号</t>
  </si>
  <si>
    <t>1F8-056</t>
  </si>
  <si>
    <t>A0961</t>
  </si>
  <si>
    <t>孙克勤</t>
  </si>
  <si>
    <t>410121197209091544</t>
  </si>
  <si>
    <t>郑州市中原区须水镇闫家庄村40号</t>
  </si>
  <si>
    <t>3F7-012</t>
  </si>
  <si>
    <t>A0963</t>
  </si>
  <si>
    <t>李浩艳</t>
  </si>
  <si>
    <t>132522197310010043</t>
  </si>
  <si>
    <t>上海市浦东新区青桐路618号32号1002室</t>
  </si>
  <si>
    <t>1F8-171</t>
  </si>
  <si>
    <t>2021-1-26</t>
  </si>
  <si>
    <t>A0967-1</t>
  </si>
  <si>
    <t>王彪</t>
  </si>
  <si>
    <t>410183198707293513</t>
  </si>
  <si>
    <t>河南省荥阳市高村乡牛口峪村</t>
  </si>
  <si>
    <t>1F8-006</t>
  </si>
  <si>
    <t>A0967-2</t>
  </si>
  <si>
    <t>1F2-054</t>
  </si>
  <si>
    <t>A0969</t>
  </si>
  <si>
    <t>王莹</t>
  </si>
  <si>
    <t>410182199005150380</t>
  </si>
  <si>
    <t>郑州市金水区永平路19号院3号楼318号</t>
  </si>
  <si>
    <t>3F8-071</t>
  </si>
  <si>
    <t>A0970</t>
  </si>
  <si>
    <t>郭文华</t>
  </si>
  <si>
    <t>410521198901262529</t>
  </si>
  <si>
    <t>河南省林州市桂林镇南马巷村南马巷自然村290号</t>
  </si>
  <si>
    <t>1F8-055</t>
  </si>
  <si>
    <t>A0971-1</t>
  </si>
  <si>
    <t>韩筱旭</t>
  </si>
  <si>
    <t>410102198711180126</t>
  </si>
  <si>
    <t>北京市朝阳区定福庄南里7号中国传媒大学2006本</t>
  </si>
  <si>
    <t>4F1-033</t>
  </si>
  <si>
    <t>A0971-2</t>
  </si>
  <si>
    <t>4F1-032</t>
  </si>
  <si>
    <t>A0972</t>
  </si>
  <si>
    <t>王伟玲</t>
  </si>
  <si>
    <t>410122198308082927</t>
  </si>
  <si>
    <t>河南省中牟县黄店镇水西村29号</t>
  </si>
  <si>
    <t>1F8-066</t>
  </si>
  <si>
    <t>2020-11-7</t>
  </si>
  <si>
    <t>原1F8-066调至此</t>
  </si>
  <si>
    <t>A0975-1</t>
  </si>
  <si>
    <t>郑晓刚</t>
  </si>
  <si>
    <t>14010319790127631X</t>
  </si>
  <si>
    <t>北京市丰台区东高地南大红门路1号内55栋</t>
  </si>
  <si>
    <t>4F4-009</t>
  </si>
  <si>
    <t>牛留军更名</t>
  </si>
  <si>
    <t>A0975-2</t>
  </si>
  <si>
    <t>4F4-010</t>
  </si>
  <si>
    <t>A0975-3</t>
  </si>
  <si>
    <t>4F4-011</t>
  </si>
  <si>
    <t>A0977</t>
  </si>
  <si>
    <t>金艳飞</t>
  </si>
  <si>
    <t>410327197902140024</t>
  </si>
  <si>
    <t>郑州市高新技术开发区银屏路115号院17号楼1单元70号</t>
  </si>
  <si>
    <t>1F6-038</t>
  </si>
  <si>
    <t>2019-12-1</t>
  </si>
  <si>
    <t>A0979-1</t>
  </si>
  <si>
    <t>白苗苗</t>
  </si>
  <si>
    <t>410823198602020828</t>
  </si>
  <si>
    <t>1F8-109</t>
  </si>
  <si>
    <t>白苗苗备注：利息按照收据2020.6.12之日起，按年利率3.85%的标准支付至法院要求不超过2022.9.22</t>
  </si>
  <si>
    <t>A0979-2</t>
  </si>
  <si>
    <t>410823198602020820</t>
  </si>
  <si>
    <t>河南省巩义市小关镇小关村前纸坊东46号</t>
  </si>
  <si>
    <t>1F8-173</t>
  </si>
  <si>
    <t>2020.6.12补款200000，2020.6.29补款50000，6.30补款35435</t>
  </si>
  <si>
    <t>A0981</t>
  </si>
  <si>
    <t>王金</t>
  </si>
  <si>
    <t>412801198806220868</t>
  </si>
  <si>
    <t>郑州市经济技术开发区经北五路6号</t>
  </si>
  <si>
    <t>3F6-041</t>
  </si>
  <si>
    <t>A0982</t>
  </si>
  <si>
    <t>吕小梅</t>
  </si>
  <si>
    <t>42020319790727254X</t>
  </si>
  <si>
    <t>郑州市金水区北环路62号院西区41号楼201号</t>
  </si>
  <si>
    <t>4F6-006</t>
  </si>
  <si>
    <t>A0987</t>
  </si>
  <si>
    <t>李栋媛、王振邦</t>
  </si>
  <si>
    <t>410821198208010020</t>
  </si>
  <si>
    <t>河南省修武县关镇顺城关村南街11号</t>
  </si>
  <si>
    <t>1F6-061</t>
  </si>
  <si>
    <t>A0988</t>
  </si>
  <si>
    <t>徐亚清</t>
  </si>
  <si>
    <t>412924196903253267</t>
  </si>
  <si>
    <t>河南省南阳市宛城区官庄镇油田油建工程公司家属院1号</t>
  </si>
  <si>
    <t>4F4-053</t>
  </si>
  <si>
    <t>A0989</t>
  </si>
  <si>
    <t>冯春霞</t>
  </si>
  <si>
    <t>410123197309071826</t>
  </si>
  <si>
    <t>河南省新郑市郭店镇南街238号</t>
  </si>
  <si>
    <t>3F7-114</t>
  </si>
  <si>
    <t>2020-7-16</t>
  </si>
  <si>
    <t>A0990</t>
  </si>
  <si>
    <t>杜欣</t>
  </si>
  <si>
    <t>41010219821008251X</t>
  </si>
  <si>
    <t>郑州市中原区林山寨村9号楼4单元8号</t>
  </si>
  <si>
    <t>3F8-121</t>
  </si>
  <si>
    <t>A0991</t>
  </si>
  <si>
    <t>袁丙英</t>
  </si>
  <si>
    <t>411302198201124847</t>
  </si>
  <si>
    <t>1F5-048</t>
  </si>
  <si>
    <t>A0993</t>
  </si>
  <si>
    <t>肖贺</t>
  </si>
  <si>
    <t>41072819980529001X</t>
  </si>
  <si>
    <t>河南省长垣县浦东区北关街东后街59号</t>
  </si>
  <si>
    <t>1F8-135</t>
  </si>
  <si>
    <t>A0994</t>
  </si>
  <si>
    <t>周小爽</t>
  </si>
  <si>
    <t>411081198607048361</t>
  </si>
  <si>
    <t>河南省禹州市浅井乡扒村1组</t>
  </si>
  <si>
    <t>1F8-039</t>
  </si>
  <si>
    <t>A0996-1</t>
  </si>
  <si>
    <t>孙爱娣</t>
  </si>
  <si>
    <t>410102197003082520</t>
  </si>
  <si>
    <t>郑州市中原区冉屯路17号院3-3-11号</t>
  </si>
  <si>
    <t>4F1-103</t>
  </si>
  <si>
    <t>放弃4F1-102，房款153360转至此和451</t>
  </si>
  <si>
    <t>A0996-2</t>
  </si>
  <si>
    <t>4F1-098</t>
  </si>
  <si>
    <t>放弃4F1-102，房款153360转至此和446</t>
  </si>
  <si>
    <t>A1000</t>
  </si>
  <si>
    <t>刘红凡</t>
  </si>
  <si>
    <t>4103111981100663028</t>
  </si>
  <si>
    <t>郑州市金水区平安路126号院3号楼194号</t>
  </si>
  <si>
    <t>3F5-056</t>
  </si>
  <si>
    <t>A1001</t>
  </si>
  <si>
    <t>张梦梦</t>
  </si>
  <si>
    <t>410221199610063026</t>
  </si>
  <si>
    <t>河南省杞县板木乡刘庄屯村西前街22号</t>
  </si>
  <si>
    <t>3F5-038</t>
  </si>
  <si>
    <t>A1002</t>
  </si>
  <si>
    <t>郭庆枝</t>
  </si>
  <si>
    <t>410126197511240020</t>
  </si>
  <si>
    <t>河南省新密市新华路办事处纪垛路8排2号</t>
  </si>
  <si>
    <t>1F8-166</t>
  </si>
  <si>
    <t>20万为郭庆枝转恒祥实业，但经账面及凭证核实，该20系支付的白苗苗房款；87156元，其中：50000(转账备注为还款）、6314为转给闫世博，债权人主张为房款，692、550、21600、8000分别为转给周京京的维修基金、印花税工本费、契税和质保金，待核实闫世博、周京京收款后的去向</t>
  </si>
  <si>
    <t>A1004</t>
  </si>
  <si>
    <t>宋瑾红</t>
  </si>
  <si>
    <t>410102197311021527</t>
  </si>
  <si>
    <t>郑州市金水区西太康路68号附1号5号楼17号</t>
  </si>
  <si>
    <t>4FA-030</t>
  </si>
  <si>
    <t>A1010</t>
  </si>
  <si>
    <t>闫瑜</t>
  </si>
  <si>
    <t>410103197604050328</t>
  </si>
  <si>
    <t>郑州市二七区政通路0105号院2号楼24号</t>
  </si>
  <si>
    <t>3F8-129</t>
  </si>
  <si>
    <t>A1011-1</t>
  </si>
  <si>
    <t>李洁</t>
  </si>
  <si>
    <t>410122198708280025</t>
  </si>
  <si>
    <t>河南省中牟县府前路37号院1排2号</t>
  </si>
  <si>
    <t>1F2-105</t>
  </si>
  <si>
    <t>2020-7-4</t>
  </si>
  <si>
    <t>A1011-2</t>
  </si>
  <si>
    <t>1F2-075</t>
  </si>
  <si>
    <t>A1013</t>
  </si>
  <si>
    <t>范雅男、史钰荣</t>
  </si>
  <si>
    <t>654128199211270041/140423199012030812</t>
  </si>
  <si>
    <t>山西省襄垣县侯堡墨玉街2区27楼41号家</t>
  </si>
  <si>
    <t>18835562369/18235535577</t>
  </si>
  <si>
    <t>1FA-113</t>
  </si>
  <si>
    <t>A1014</t>
  </si>
  <si>
    <t>赵玉京、孔素花</t>
  </si>
  <si>
    <t>412327198202086238，412725198609066123</t>
  </si>
  <si>
    <t>河南省柘城县张桥镇赵楼村民组二组237号</t>
  </si>
  <si>
    <t>1F8-017</t>
  </si>
  <si>
    <t>2019-8-15</t>
  </si>
  <si>
    <t>A1015</t>
  </si>
  <si>
    <t>丁东亮</t>
  </si>
  <si>
    <t>412722198204055371</t>
  </si>
  <si>
    <t>河南省洛阳市涧西区三十四号街坊10栋2门302号</t>
  </si>
  <si>
    <t>4F3-014</t>
  </si>
  <si>
    <t>2020-11-21</t>
  </si>
  <si>
    <t>A1018</t>
  </si>
  <si>
    <t>王璐</t>
  </si>
  <si>
    <t>410104198701270040</t>
  </si>
  <si>
    <t>郑州市惠济区老鸦陈办事处双桥村北二街78号</t>
  </si>
  <si>
    <t>4F7-005</t>
  </si>
  <si>
    <t>A1019</t>
  </si>
  <si>
    <t>侯其荣</t>
  </si>
  <si>
    <t>410221197709234826</t>
  </si>
  <si>
    <t>河南省杞县湖岗乡湖岗村10组3号</t>
  </si>
  <si>
    <t>4F9-023</t>
  </si>
  <si>
    <t>A1021-1</t>
  </si>
  <si>
    <t>陈浩允</t>
  </si>
  <si>
    <t>41010201405130096</t>
  </si>
  <si>
    <t>郑州市中原区汝河路居住小区45号楼3单元2号</t>
  </si>
  <si>
    <t>4F1-069</t>
  </si>
  <si>
    <t>A1021-2</t>
  </si>
  <si>
    <t>4F1-070</t>
  </si>
  <si>
    <t>A1026</t>
  </si>
  <si>
    <t>赵岩</t>
  </si>
  <si>
    <t>410105197812231011</t>
  </si>
  <si>
    <t>郑州市金水区纬五路12号楼7号院28号</t>
  </si>
  <si>
    <t>3F8-058</t>
  </si>
  <si>
    <t>2020-7-20</t>
  </si>
  <si>
    <t>A1027</t>
  </si>
  <si>
    <t>白瑞</t>
  </si>
  <si>
    <t>410305197906224526</t>
  </si>
  <si>
    <t>郑州市金水区索凌路9号院5号楼518号</t>
  </si>
  <si>
    <t>3F6-057</t>
  </si>
  <si>
    <t>A1031</t>
  </si>
  <si>
    <t>谢建英</t>
  </si>
  <si>
    <t>412924197510031940</t>
  </si>
  <si>
    <t>4FA-086</t>
  </si>
  <si>
    <t>A1034</t>
  </si>
  <si>
    <t>韦颖</t>
  </si>
  <si>
    <t>412727198608294629</t>
  </si>
  <si>
    <t>河南省淮阳县四通镇孔集行政村孔南</t>
  </si>
  <si>
    <t>1F7-029</t>
  </si>
  <si>
    <t>A1035</t>
  </si>
  <si>
    <t>王淼</t>
  </si>
  <si>
    <t>410928199002106048</t>
  </si>
  <si>
    <t>河南省濮阳市华龙区五一路凌云小区2号楼4单元9号</t>
  </si>
  <si>
    <t>4F6-047</t>
  </si>
  <si>
    <t>A1036-1</t>
  </si>
  <si>
    <t>孙伟霞</t>
  </si>
  <si>
    <t>410123197908080046</t>
  </si>
  <si>
    <t>河南省新郑市新建办南菜洼38号</t>
  </si>
  <si>
    <t>1F6-002</t>
  </si>
  <si>
    <t>A1036-2</t>
  </si>
  <si>
    <t>1F8-072</t>
  </si>
  <si>
    <t>A1038</t>
  </si>
  <si>
    <t>郑延延</t>
  </si>
  <si>
    <t>411503198707110415</t>
  </si>
  <si>
    <t>郑州市金水区市民新村北街2号院2号楼</t>
  </si>
  <si>
    <t>18539992761</t>
  </si>
  <si>
    <t>4FA-124</t>
  </si>
  <si>
    <t>A1045</t>
  </si>
  <si>
    <t>李海涛</t>
  </si>
  <si>
    <t>411122197409094632</t>
  </si>
  <si>
    <t>郑州市金水区农业路25号院2号楼30号</t>
  </si>
  <si>
    <t>1F7-082</t>
  </si>
  <si>
    <t>2019-7-9</t>
  </si>
  <si>
    <t>由1F7-061调至此</t>
  </si>
  <si>
    <t>A1049</t>
  </si>
  <si>
    <t>张姣红</t>
  </si>
  <si>
    <t>410425198712260583</t>
  </si>
  <si>
    <t>河南省郑州市金水区柳林镇新庄1号</t>
  </si>
  <si>
    <t>3F6-097</t>
  </si>
  <si>
    <t>申报的已付维修基金1170元和登记费550元账面无该数据，需补充收据后确认</t>
  </si>
  <si>
    <t>A1051</t>
  </si>
  <si>
    <t>闫慧婷</t>
  </si>
  <si>
    <t>411424198508200027</t>
  </si>
  <si>
    <t>河南省柘城县城关镇白庄东街41号</t>
  </si>
  <si>
    <t>13223902993/15137019899</t>
  </si>
  <si>
    <t>2FB-161</t>
  </si>
  <si>
    <t>2019-3-6</t>
  </si>
  <si>
    <t>2019-3-10</t>
  </si>
  <si>
    <t>A1052</t>
  </si>
  <si>
    <t>何宗阳、李冉冉</t>
  </si>
  <si>
    <t>41010219880117001X、412728198809157846</t>
  </si>
  <si>
    <t>郑州市中原区四厂东街14号楼5单元1号</t>
  </si>
  <si>
    <t>15537130117/15537138290</t>
  </si>
  <si>
    <t>4F6-031</t>
  </si>
  <si>
    <t>A1056</t>
  </si>
  <si>
    <t>白中华、杜鹃</t>
  </si>
  <si>
    <t>410721198103242532、410721198108182524、</t>
  </si>
  <si>
    <t>河南省新乡县小冀镇梁村北大街63号</t>
  </si>
  <si>
    <t>1F8-062</t>
  </si>
  <si>
    <t>A1057</t>
  </si>
  <si>
    <t>冯吉雪</t>
  </si>
  <si>
    <t>410721197009130011</t>
  </si>
  <si>
    <t>河南省新乡县新乡联谊制药厂家属院</t>
  </si>
  <si>
    <t>13183001090/18317573226</t>
  </si>
  <si>
    <t>2FB-116</t>
  </si>
  <si>
    <t>A1061</t>
  </si>
  <si>
    <t>王阳、谢裙晓</t>
  </si>
  <si>
    <t>331081198803233513、33108119890927302X</t>
  </si>
  <si>
    <t>浙江省温岭市大溪镇岙增张村2区72号</t>
  </si>
  <si>
    <t>1F7-089</t>
  </si>
  <si>
    <t>A1065</t>
  </si>
  <si>
    <t>张海军</t>
  </si>
  <si>
    <t>412701197312120568</t>
  </si>
  <si>
    <t>郑州市金水区黄河东路91号院4号楼94号</t>
  </si>
  <si>
    <t>1F8-031</t>
  </si>
  <si>
    <t>仅提供合同，仅申报部分房款429154元、核实金额与账面核对后确认</t>
  </si>
  <si>
    <t>A1066</t>
  </si>
  <si>
    <t>赵静</t>
  </si>
  <si>
    <t>410725198409050045</t>
  </si>
  <si>
    <t>郑州市中原区东兴街22号院2号楼2单元307号</t>
  </si>
  <si>
    <t>3F9-051</t>
  </si>
  <si>
    <t>A1067</t>
  </si>
  <si>
    <t>赵海林</t>
  </si>
  <si>
    <t>412724199004090401</t>
  </si>
  <si>
    <t>河南省太康县城关回族镇五里杨行政村赵庄</t>
  </si>
  <si>
    <t>15538053245、17752533950</t>
  </si>
  <si>
    <t>4499</t>
  </si>
  <si>
    <t>4FA-028</t>
  </si>
  <si>
    <t>A1078</t>
  </si>
  <si>
    <t>马守钦</t>
  </si>
  <si>
    <t>41022119801203081X</t>
  </si>
  <si>
    <t>河南省杞县五星河乡马庄村210号</t>
  </si>
  <si>
    <t>3FA-056</t>
  </si>
  <si>
    <t>未附房款和维修基金的收据</t>
  </si>
  <si>
    <t>A1080</t>
  </si>
  <si>
    <t>王磊磊</t>
  </si>
  <si>
    <t>410182198404120535</t>
  </si>
  <si>
    <t>郑州市中原区须水镇白砦村南街117号</t>
  </si>
  <si>
    <t>3F5-018</t>
  </si>
  <si>
    <t>A1081</t>
  </si>
  <si>
    <t>陈世超</t>
  </si>
  <si>
    <t>410181198907270030</t>
  </si>
  <si>
    <t>河南省巩义市米河镇魏寨村场咀54号</t>
  </si>
  <si>
    <t>3F7-022</t>
  </si>
  <si>
    <t>A1082</t>
  </si>
  <si>
    <t>王玉红</t>
  </si>
  <si>
    <t>412726198609047543</t>
  </si>
  <si>
    <t>河南省郸城县城关镇人民北路县社56号</t>
  </si>
  <si>
    <t>3F8-135</t>
  </si>
  <si>
    <t>2019-6-6</t>
  </si>
  <si>
    <t>A1087</t>
  </si>
  <si>
    <t>赵源鑫</t>
  </si>
  <si>
    <t>411402199405064575</t>
  </si>
  <si>
    <t>郑州市奥兰花园</t>
  </si>
  <si>
    <t>3FA-055</t>
  </si>
  <si>
    <t>A1093</t>
  </si>
  <si>
    <t>陈星</t>
  </si>
  <si>
    <t>410183198910220045</t>
  </si>
  <si>
    <t>郑州市上街区峡窝镇沙固村沙固055号</t>
  </si>
  <si>
    <t>1F5-044</t>
  </si>
  <si>
    <t>A1094</t>
  </si>
  <si>
    <t>安金平</t>
  </si>
  <si>
    <t>610113197712230051</t>
  </si>
  <si>
    <t>河南省中牟县城关镇青年西路30号</t>
  </si>
  <si>
    <t>3F2-048</t>
  </si>
  <si>
    <t>A1096</t>
  </si>
  <si>
    <t>陈璐、王俊敏</t>
  </si>
  <si>
    <t>410184198906220049、410107196212090540</t>
  </si>
  <si>
    <t>郑州市经济技术开发区航海东路1316号6号楼1单元504号</t>
  </si>
  <si>
    <t>3F8-027</t>
  </si>
  <si>
    <t>A1098</t>
  </si>
  <si>
    <t>杜明果</t>
  </si>
  <si>
    <t>410402197410055518</t>
  </si>
  <si>
    <t>河南省平顶山市新华区启蒙街5号院35号</t>
  </si>
  <si>
    <t>1F8-117</t>
  </si>
  <si>
    <t>A1102</t>
  </si>
  <si>
    <t>高梦雨</t>
  </si>
  <si>
    <t>41010219960516010X</t>
  </si>
  <si>
    <t>郑州市中原区绿东村1号院10号楼付10号</t>
  </si>
  <si>
    <t>4F1-099</t>
  </si>
  <si>
    <t>A1104</t>
  </si>
  <si>
    <t>马萌</t>
  </si>
  <si>
    <t>410222198812070023</t>
  </si>
  <si>
    <t>郑州市二七区京广中路141号院3号楼10号</t>
  </si>
  <si>
    <t>4F4-001</t>
  </si>
  <si>
    <t>A1105</t>
  </si>
  <si>
    <t>魏翊</t>
  </si>
  <si>
    <t>410105199903090030</t>
  </si>
  <si>
    <t>郑州市金水区文化路48号院</t>
  </si>
  <si>
    <t>4F6-021</t>
  </si>
  <si>
    <t>A1106</t>
  </si>
  <si>
    <t>屈佳宁</t>
  </si>
  <si>
    <t>411324198409200042</t>
  </si>
  <si>
    <t>郑州市高新技术开发区合欢街11号</t>
  </si>
  <si>
    <t>4F4-040</t>
  </si>
  <si>
    <t>2019-4-17</t>
  </si>
  <si>
    <t>A1107</t>
  </si>
  <si>
    <t>宋冬玉</t>
  </si>
  <si>
    <t>410105197408223829</t>
  </si>
  <si>
    <t>3F4-011</t>
  </si>
  <si>
    <t>A1108</t>
  </si>
  <si>
    <t>孙煌</t>
  </si>
  <si>
    <t>410105199002190018</t>
  </si>
  <si>
    <t>郑州市金水区文化路23号院4号楼3号</t>
  </si>
  <si>
    <t>4F5-044</t>
  </si>
  <si>
    <t>A1111</t>
  </si>
  <si>
    <t>韦铁权、贺颖颖</t>
  </si>
  <si>
    <t>411122198509018092、411122198706150041</t>
  </si>
  <si>
    <t>河南省临颍县繁城回族镇大韦村123号</t>
  </si>
  <si>
    <t>1F7-088</t>
  </si>
  <si>
    <t>A1116</t>
  </si>
  <si>
    <t>周红梅</t>
  </si>
  <si>
    <t>410225198302236627</t>
  </si>
  <si>
    <t>郑州市中原区桐柏南路98号院307-2-1501号</t>
  </si>
  <si>
    <t>4F4-020</t>
  </si>
  <si>
    <t>A1128</t>
  </si>
  <si>
    <t>刘威</t>
  </si>
  <si>
    <t>412727198509215411</t>
  </si>
  <si>
    <t>河南省淮阳县豆门乡马营村170号</t>
  </si>
  <si>
    <t>1F7-038</t>
  </si>
  <si>
    <t>A1130</t>
  </si>
  <si>
    <t>王瑞琪</t>
  </si>
  <si>
    <t>410211198205081039</t>
  </si>
  <si>
    <t>河南开封市金明区万胜路河南大学21号家属楼</t>
  </si>
  <si>
    <t>4F6-032</t>
  </si>
  <si>
    <t>李省更（母子</t>
  </si>
  <si>
    <t>A1136</t>
  </si>
  <si>
    <t>申思宇</t>
  </si>
  <si>
    <t>411082199610067214</t>
  </si>
  <si>
    <t>郑州市中原区中原西路131号院18号楼1单元3号</t>
  </si>
  <si>
    <t>13598883753、18903854697</t>
  </si>
  <si>
    <t>1F2-088</t>
  </si>
  <si>
    <t>A1138</t>
  </si>
  <si>
    <t>王彬彬</t>
  </si>
  <si>
    <t>410922199307284947</t>
  </si>
  <si>
    <t>河南省清丰县城关镇南大街14号</t>
  </si>
  <si>
    <t>17839366670、18703136671</t>
  </si>
  <si>
    <t>3F8-037</t>
  </si>
  <si>
    <t>A1141</t>
  </si>
  <si>
    <t>岳朋</t>
  </si>
  <si>
    <t>410108198305232013</t>
  </si>
  <si>
    <t>郑州市惠济区古荥镇张庄村22号</t>
  </si>
  <si>
    <t>3F9-010</t>
  </si>
  <si>
    <t>A1143</t>
  </si>
  <si>
    <t>张玉</t>
  </si>
  <si>
    <t>410181198106131022</t>
  </si>
  <si>
    <t>郑州市金水区索菱路9号院14号楼1407号</t>
  </si>
  <si>
    <t>3F6-130</t>
  </si>
  <si>
    <t>A1144</t>
  </si>
  <si>
    <t>41092820040318005X</t>
  </si>
  <si>
    <t>河南省濮阳市华龙区黄河路办事处巴黎街颐和花园15号楼2单元3号</t>
  </si>
  <si>
    <t>3F8-029</t>
  </si>
  <si>
    <t>A1146</t>
  </si>
  <si>
    <t>魏华</t>
  </si>
  <si>
    <t>410102199103252260</t>
  </si>
  <si>
    <t>郑州市中原区须水镇二砂村60号</t>
  </si>
  <si>
    <t>3F9-012</t>
  </si>
  <si>
    <t>2019-9-24</t>
  </si>
  <si>
    <t>A1147</t>
  </si>
  <si>
    <t>马巧红</t>
  </si>
  <si>
    <t>410102196902124523</t>
  </si>
  <si>
    <t>3F4-062</t>
  </si>
  <si>
    <t>母子魏飞更</t>
  </si>
  <si>
    <t>A1151</t>
  </si>
  <si>
    <t>扶茗</t>
  </si>
  <si>
    <t>411523199101070025</t>
  </si>
  <si>
    <t>郑州市金水区建业路90号院11号楼8号</t>
  </si>
  <si>
    <t>13939052259</t>
  </si>
  <si>
    <t>3FA-092</t>
  </si>
  <si>
    <t>2019-2-1</t>
  </si>
  <si>
    <t>A1155</t>
  </si>
  <si>
    <t>李菲菲</t>
  </si>
  <si>
    <t>410105198901300060</t>
  </si>
  <si>
    <t>郑州市金水区经八路9号17号楼36号</t>
  </si>
  <si>
    <t>15515537719、13643802280</t>
  </si>
  <si>
    <t>1FA-082</t>
  </si>
  <si>
    <t>2018-12-21</t>
  </si>
  <si>
    <t>未提供证据资料</t>
  </si>
  <si>
    <t>A1158</t>
  </si>
  <si>
    <t>刘艳君</t>
  </si>
  <si>
    <t>411023197509247027</t>
  </si>
  <si>
    <t>郑州市经济技术开发区经开第八大街69号</t>
  </si>
  <si>
    <t>1F2-045</t>
  </si>
  <si>
    <t>A1160</t>
  </si>
  <si>
    <t>王润娜、王长吉</t>
  </si>
  <si>
    <t>411202198206246522、152104197705222218</t>
  </si>
  <si>
    <t>18337198985/13937198985</t>
  </si>
  <si>
    <t>4F1-092</t>
  </si>
  <si>
    <t>A1161</t>
  </si>
  <si>
    <t>许治国</t>
  </si>
  <si>
    <t>410327197307150033</t>
  </si>
  <si>
    <t>郑州市二七区苗圃街19号院2号楼2单元2102号</t>
  </si>
  <si>
    <t>1F2-082</t>
  </si>
  <si>
    <t>A1162</t>
  </si>
  <si>
    <t>尹延庆</t>
  </si>
  <si>
    <t>410105198210011614</t>
  </si>
  <si>
    <t>郑州市金水区经七路9号院1号楼29号</t>
  </si>
  <si>
    <t>3F6-078</t>
  </si>
  <si>
    <t>A1170-1</t>
  </si>
  <si>
    <t>胡丁允</t>
  </si>
  <si>
    <t>412801198912150840</t>
  </si>
  <si>
    <t>郑州市二七区兑周村11号楼附7号</t>
  </si>
  <si>
    <t>3F5-062</t>
  </si>
  <si>
    <t>A1170-2</t>
  </si>
  <si>
    <t>3F9-032</t>
  </si>
  <si>
    <t>A1172</t>
  </si>
  <si>
    <t>曹泽渊</t>
  </si>
  <si>
    <t>140402198803121220</t>
  </si>
  <si>
    <t>山西省长治市城区军民巷甲一号1号楼4单元302户</t>
  </si>
  <si>
    <t>3F7-061</t>
  </si>
  <si>
    <t>A1173</t>
  </si>
  <si>
    <t>刘军艳</t>
  </si>
  <si>
    <t>410105197404102720</t>
  </si>
  <si>
    <t>郑州市金水区经七路15号院附4号1号楼17号</t>
  </si>
  <si>
    <t>4F1-045</t>
  </si>
  <si>
    <t>A1178</t>
  </si>
  <si>
    <t>李江凤</t>
  </si>
  <si>
    <t>429001197908254823</t>
  </si>
  <si>
    <t>湖北省随州市曾都区小林镇上天梯居委会五组</t>
  </si>
  <si>
    <t>1F7-049</t>
  </si>
  <si>
    <t>2020-6-21</t>
  </si>
  <si>
    <t>A1182</t>
  </si>
  <si>
    <t>李沛</t>
  </si>
  <si>
    <t>511621198910052785</t>
  </si>
  <si>
    <t>郑州市管城回族区石化路52号院6号楼15号</t>
  </si>
  <si>
    <t>15138698125</t>
  </si>
  <si>
    <t>4FA-121</t>
  </si>
  <si>
    <t>A1184</t>
  </si>
  <si>
    <t>512923197010212785</t>
  </si>
  <si>
    <t>郑州市二七区连云路１５号院８号楼１７号</t>
  </si>
  <si>
    <t>18037302748</t>
  </si>
  <si>
    <t>4FA-119</t>
  </si>
  <si>
    <t>A1189</t>
  </si>
  <si>
    <t>胡宗纳</t>
  </si>
  <si>
    <t>412932197708110927</t>
  </si>
  <si>
    <t>河南省唐河县马振抚乡八里冲村大冯庄273号</t>
  </si>
  <si>
    <t>3F8-095</t>
  </si>
  <si>
    <t>2020-6-9</t>
  </si>
  <si>
    <t>A1190</t>
  </si>
  <si>
    <t>李点石、司易诺</t>
  </si>
  <si>
    <t>411423200709180038/411402201304060284</t>
  </si>
  <si>
    <t>河南省宁陵县城关镇回族镇于堂村11附1号</t>
  </si>
  <si>
    <t>13503406816/13569339770</t>
  </si>
  <si>
    <t>3F8-013</t>
  </si>
  <si>
    <t>A1192</t>
  </si>
  <si>
    <t>李海平</t>
  </si>
  <si>
    <t>412826199007154747</t>
  </si>
  <si>
    <t>河南省汝南县官庄乡供销社家属院89号</t>
  </si>
  <si>
    <t>1F5-053</t>
  </si>
  <si>
    <t>A1193</t>
  </si>
  <si>
    <t>肖荣</t>
  </si>
  <si>
    <t>411521199002270045</t>
  </si>
  <si>
    <t>河南省罗山县城关镇北大街153附45号</t>
  </si>
  <si>
    <t xml:space="preserve"> 16637122850、13733892331</t>
  </si>
  <si>
    <t>1F8-151</t>
  </si>
  <si>
    <t>A1194</t>
  </si>
  <si>
    <t>宋世阳</t>
  </si>
  <si>
    <t>410402199005105832</t>
  </si>
  <si>
    <t>河南省平顶山市新华区青石路四分院小区10号楼2单元19号</t>
  </si>
  <si>
    <t>4F4-083</t>
  </si>
  <si>
    <t>纪亚赛</t>
  </si>
  <si>
    <t>A1195</t>
  </si>
  <si>
    <t>赵晨</t>
  </si>
  <si>
    <t>410105198601220026</t>
  </si>
  <si>
    <t>郑州市金水区彭公</t>
  </si>
  <si>
    <t>3F1-127</t>
  </si>
  <si>
    <t>A1197</t>
  </si>
  <si>
    <t>段秀芳</t>
  </si>
  <si>
    <t>410702196204052043</t>
  </si>
  <si>
    <t>郑州市金水区金水路233号院7号楼16号</t>
  </si>
  <si>
    <t>1F8-044</t>
  </si>
  <si>
    <t>A1198</t>
  </si>
  <si>
    <t>范乃立</t>
  </si>
  <si>
    <t>37292519971124251X</t>
  </si>
  <si>
    <t>山东省单县高韦庄镇大徐庄行政村范集北村44号</t>
  </si>
  <si>
    <t>4FA-042</t>
  </si>
  <si>
    <t>A1199</t>
  </si>
  <si>
    <t>蒋桂丽</t>
  </si>
  <si>
    <t>412325198107146324</t>
  </si>
  <si>
    <t>河南省睢县孙聚寨乡东李村180号</t>
  </si>
  <si>
    <t>18738819858、13676915598</t>
  </si>
  <si>
    <t>1F7-033</t>
  </si>
  <si>
    <t>2020-11-15</t>
  </si>
  <si>
    <t>A1202</t>
  </si>
  <si>
    <t>刘琦</t>
  </si>
  <si>
    <t>410104197110224523</t>
  </si>
  <si>
    <t>郑州市管城回族区管城街65号楼3单元27号</t>
  </si>
  <si>
    <t>1F2-084</t>
  </si>
  <si>
    <t>A1203</t>
  </si>
  <si>
    <t>曲良华</t>
  </si>
  <si>
    <t>412929197907076516</t>
  </si>
  <si>
    <t>郑州市二七区航海中路8号</t>
  </si>
  <si>
    <t>1F2-070</t>
  </si>
  <si>
    <t>2020-7-27</t>
  </si>
  <si>
    <t>A1205</t>
  </si>
  <si>
    <t>徐小霞</t>
  </si>
  <si>
    <t>410724197801214023</t>
  </si>
  <si>
    <t>1F2-060</t>
  </si>
  <si>
    <t>从3f1-088调至此</t>
  </si>
  <si>
    <t>A1206</t>
  </si>
  <si>
    <t>冀军</t>
  </si>
  <si>
    <t>410105198710270196</t>
  </si>
  <si>
    <t>郑州市金水区兴达路办事处任庄村83号</t>
  </si>
  <si>
    <t>4F4-052</t>
  </si>
  <si>
    <t>A1207</t>
  </si>
  <si>
    <t>杨晓芬</t>
  </si>
  <si>
    <t>230229197204162545</t>
  </si>
  <si>
    <t>黑龙江省克山县双河乡中心村3组</t>
  </si>
  <si>
    <t>1F8-036</t>
  </si>
  <si>
    <t>A1208</t>
  </si>
  <si>
    <t>赵唤</t>
  </si>
  <si>
    <t>412727198604163525</t>
  </si>
  <si>
    <t>17319786253；13303717949、15136216315</t>
  </si>
  <si>
    <t>3F6-027</t>
  </si>
  <si>
    <t>A1209</t>
  </si>
  <si>
    <t>张志、孙喆</t>
  </si>
  <si>
    <t>410183198506102039/410105198506280127</t>
  </si>
  <si>
    <t>15837196300/13526650043</t>
  </si>
  <si>
    <t>4F4-059</t>
  </si>
  <si>
    <t>A1214</t>
  </si>
  <si>
    <t>郭丽</t>
  </si>
  <si>
    <t>410901197506150828</t>
  </si>
  <si>
    <t>天津市武清区下朱庄街梅石公里月伴湾花园8号楼1门102号</t>
  </si>
  <si>
    <t>1F8-035</t>
  </si>
  <si>
    <t>A1219</t>
  </si>
  <si>
    <t>张嘉良、张绪坤</t>
  </si>
  <si>
    <t>410106196310030035、410106198903190033</t>
  </si>
  <si>
    <t>郑州市上街区友谊路7号楼41号</t>
  </si>
  <si>
    <t>3F7-006</t>
  </si>
  <si>
    <t>A1221</t>
  </si>
  <si>
    <t>丁凤霞</t>
  </si>
  <si>
    <t>412827196409150020</t>
  </si>
  <si>
    <t>河南省平舆县古槐镇陈著路37号</t>
  </si>
  <si>
    <t>1F6-039</t>
  </si>
  <si>
    <t>A1222</t>
  </si>
  <si>
    <t>高山雅</t>
  </si>
  <si>
    <t>410183198111133527</t>
  </si>
  <si>
    <t>河南省荥阳市高村乡幸福街001还付2号</t>
  </si>
  <si>
    <t>2FA-027</t>
  </si>
  <si>
    <t>2018-11-22</t>
  </si>
  <si>
    <t>A1224</t>
  </si>
  <si>
    <t>王喜彬</t>
  </si>
  <si>
    <t>220702197810131226</t>
  </si>
  <si>
    <t>郑州市中原区中原西路41号</t>
  </si>
  <si>
    <t>4F6-050</t>
  </si>
  <si>
    <t>A1225</t>
  </si>
  <si>
    <t>赵妞妞</t>
  </si>
  <si>
    <t>412828199204053681</t>
  </si>
  <si>
    <t>河南省新蔡县孙召镇张楼村赵楼</t>
  </si>
  <si>
    <t>1F2-091</t>
  </si>
  <si>
    <t>A1226</t>
  </si>
  <si>
    <t>朱昱霖</t>
  </si>
  <si>
    <t>410105198708030134</t>
  </si>
  <si>
    <t>郑州市金水区防疫站1号院3号楼11号</t>
  </si>
  <si>
    <t>1F8-034</t>
  </si>
  <si>
    <t>A1227</t>
  </si>
  <si>
    <t>樊凯佳</t>
  </si>
  <si>
    <t>41018519920719003X</t>
  </si>
  <si>
    <t>河南省登封市嵩阳办事处嵩阳中路22号</t>
  </si>
  <si>
    <t>1F2-055</t>
  </si>
  <si>
    <t>给樊凯佳预留</t>
  </si>
  <si>
    <t>A1228</t>
  </si>
  <si>
    <t>李堃</t>
  </si>
  <si>
    <t>41010619880809051X</t>
  </si>
  <si>
    <t>郑州市上街区如意街21号楼25号</t>
  </si>
  <si>
    <t>3FA-027</t>
  </si>
  <si>
    <t>A1230</t>
  </si>
  <si>
    <t>李花转</t>
  </si>
  <si>
    <t>410126196405104928</t>
  </si>
  <si>
    <t>郑州市金水区翠花路7号16号楼8号</t>
  </si>
  <si>
    <t>3F6-089</t>
  </si>
  <si>
    <t>A1232</t>
  </si>
  <si>
    <t>常月玲</t>
  </si>
  <si>
    <t>411024196903157080</t>
  </si>
  <si>
    <t>郑州市二七区京广南路61号楼5号楼7号</t>
  </si>
  <si>
    <t>3F1-035</t>
  </si>
  <si>
    <t>A1233</t>
  </si>
  <si>
    <t>崔小东</t>
  </si>
  <si>
    <t>411322198901025343</t>
  </si>
  <si>
    <t>河南省方城县小史店镇五星村王楼75号</t>
  </si>
  <si>
    <t>1F7-010</t>
  </si>
  <si>
    <t>A1235</t>
  </si>
  <si>
    <t>耿世华</t>
  </si>
  <si>
    <t>410185199210167324</t>
  </si>
  <si>
    <t>河南省登封市少林办事处耿庄村前耿庄新华街18号</t>
  </si>
  <si>
    <t>4FA-035</t>
  </si>
  <si>
    <t>2018-10-28</t>
  </si>
  <si>
    <t>A1236</t>
  </si>
  <si>
    <t>何鹏</t>
  </si>
  <si>
    <t>411324196209221413</t>
  </si>
  <si>
    <t>郑州市中原区西站东街8号院10号楼23号</t>
  </si>
  <si>
    <t>1F7-043</t>
  </si>
  <si>
    <t>A1238</t>
  </si>
  <si>
    <t>李爽</t>
  </si>
  <si>
    <t>410521198207160063</t>
  </si>
  <si>
    <t>河南省林州市李庄村西台自然村中心街南一区27号</t>
  </si>
  <si>
    <t>3F8-041</t>
  </si>
  <si>
    <t>A1239</t>
  </si>
  <si>
    <t>李松锋</t>
  </si>
  <si>
    <t>410125197604103010</t>
  </si>
  <si>
    <t>河南省登封市徐庄镇瓦窑沟92号</t>
  </si>
  <si>
    <t>1F2-046</t>
  </si>
  <si>
    <t>A1240</t>
  </si>
  <si>
    <t>罗喜英</t>
  </si>
  <si>
    <t>411627196610240325</t>
  </si>
  <si>
    <t>1F5-062</t>
  </si>
  <si>
    <t>2020-4-16</t>
  </si>
  <si>
    <t>原1338房20000调至此</t>
  </si>
  <si>
    <t>A1241</t>
  </si>
  <si>
    <t>刘淑霞</t>
  </si>
  <si>
    <t>410402197402165549</t>
  </si>
  <si>
    <t>郑州市金水区普惠路3号院4号楼115号</t>
  </si>
  <si>
    <t>2FA-020</t>
  </si>
  <si>
    <t>A1243</t>
  </si>
  <si>
    <t>孙鹏涛</t>
  </si>
  <si>
    <t>411122199005166598</t>
  </si>
  <si>
    <t>河南省临颍县繁城回族镇东风路2号</t>
  </si>
  <si>
    <t>13403956686</t>
  </si>
  <si>
    <t>2FA-139</t>
  </si>
  <si>
    <t>A1244</t>
  </si>
  <si>
    <t>陈伟民</t>
  </si>
  <si>
    <t>410782199105105416</t>
  </si>
  <si>
    <t>河南省辉县市城关镇吕巷街127号</t>
  </si>
  <si>
    <t>1F8-061</t>
  </si>
  <si>
    <t>A1246</t>
  </si>
  <si>
    <t>宋存兴、张庆玉</t>
  </si>
  <si>
    <t>410521199601253510、410521199502183529</t>
  </si>
  <si>
    <t>河南省林州市临淇镇河东村波兰掌自然村161号</t>
  </si>
  <si>
    <t>18625805716、18838978218</t>
  </si>
  <si>
    <t>1F8-049</t>
  </si>
  <si>
    <t>A1247</t>
  </si>
  <si>
    <t>陶李</t>
  </si>
  <si>
    <t>340822199404206015</t>
  </si>
  <si>
    <t>安徽省安庆市怀宁县雷埠乡曙光村新华组132号</t>
  </si>
  <si>
    <t>1F7-037</t>
  </si>
  <si>
    <t>A1249</t>
  </si>
  <si>
    <t>许杰铭</t>
  </si>
  <si>
    <t>410102198911240170</t>
  </si>
  <si>
    <t>郑州市高新技术开发区沟赵乡布袋里村87号付2号</t>
  </si>
  <si>
    <t>1F7-046</t>
  </si>
  <si>
    <t>2019.12.27申请退款</t>
  </si>
  <si>
    <t>A1250</t>
  </si>
  <si>
    <t>杨凯</t>
  </si>
  <si>
    <t>410823198709010072</t>
  </si>
  <si>
    <t>郑州市二七区棉纺东路66号院41号楼1018号</t>
  </si>
  <si>
    <t>3F6-077</t>
  </si>
  <si>
    <t>销售明细表和财务账面未记录收维修基金和产权登记费，需提供维修基金2119元、产权登记费550元收据</t>
  </si>
  <si>
    <t>A1251</t>
  </si>
  <si>
    <t>朱明伦</t>
  </si>
  <si>
    <t>410105199702010110</t>
  </si>
  <si>
    <t>郑州市金水区俭学街6号院1号楼8号</t>
  </si>
  <si>
    <t>1F2-106</t>
  </si>
  <si>
    <t>2020-6-1</t>
  </si>
  <si>
    <t>赵红更</t>
  </si>
  <si>
    <t>A1252</t>
  </si>
  <si>
    <t>迟颖</t>
  </si>
  <si>
    <t>410105197209222348</t>
  </si>
  <si>
    <t>郑州市金水区健康路176号院2号楼5号</t>
  </si>
  <si>
    <t>1F5-095</t>
  </si>
  <si>
    <t>2019-10-15</t>
  </si>
  <si>
    <t>A1256</t>
  </si>
  <si>
    <t>王成刚/陈晓杰</t>
  </si>
  <si>
    <t>411324198303023017</t>
  </si>
  <si>
    <t>河南省镇平县曲屯乡菜市街1号</t>
  </si>
  <si>
    <t>15803995802/15921582625</t>
  </si>
  <si>
    <t>3FA-028</t>
  </si>
  <si>
    <t>A1257</t>
  </si>
  <si>
    <t>申蕾</t>
  </si>
  <si>
    <t>410102198507080021</t>
  </si>
  <si>
    <t>郑州市中原区互助路28号楼8单元3号</t>
  </si>
  <si>
    <t>1F8-037</t>
  </si>
  <si>
    <t>A1258</t>
  </si>
  <si>
    <t>魏延勋/郭素芳</t>
  </si>
  <si>
    <t>411502197704165057/410928198701112442</t>
  </si>
  <si>
    <t>陕西省户县甘亭镇南营房/郑州市金水区沙口路瑞隆城27栋602</t>
  </si>
  <si>
    <t>2FA-047</t>
  </si>
  <si>
    <t>A1260</t>
  </si>
  <si>
    <t>李晋锋</t>
  </si>
  <si>
    <t>612125197003130530</t>
  </si>
  <si>
    <t>广东省深圳市盐田区梧桐路2070号36小区5栋202</t>
  </si>
  <si>
    <t>1F2-080</t>
  </si>
  <si>
    <t>A1263</t>
  </si>
  <si>
    <t>石勇刚</t>
  </si>
  <si>
    <t>410503196810021533</t>
  </si>
  <si>
    <t>河南省安阳市北关区灯塔路一巷1号楼3单元12号</t>
  </si>
  <si>
    <t>1F1-023</t>
  </si>
  <si>
    <t>2020-10-27</t>
  </si>
  <si>
    <t>由1F1-023调至此</t>
  </si>
  <si>
    <t>A1264</t>
  </si>
  <si>
    <t>张庆安</t>
  </si>
  <si>
    <t>410225196912210038</t>
  </si>
  <si>
    <t>郑州市二七区长江中路129号院9号楼15号</t>
  </si>
  <si>
    <t>1F8-015</t>
  </si>
  <si>
    <t>A1265</t>
  </si>
  <si>
    <t>魏立峰</t>
  </si>
  <si>
    <t>412901197804240516</t>
  </si>
  <si>
    <t>河南省南阳市宛城区仲景路228号</t>
  </si>
  <si>
    <t>18191447719/15838211744</t>
  </si>
  <si>
    <t>4FA-126</t>
  </si>
  <si>
    <t>A1266</t>
  </si>
  <si>
    <t>孙德强、张晓燕</t>
  </si>
  <si>
    <t>410381198106274518、410381198406215026</t>
  </si>
  <si>
    <t>河南省偃师市缑氏镇孙坡村</t>
  </si>
  <si>
    <t>3F8-085</t>
  </si>
  <si>
    <t>A1267</t>
  </si>
  <si>
    <t>付代春/付子腾</t>
  </si>
  <si>
    <t>410108199004050106</t>
  </si>
  <si>
    <t>郑州市惠济区迎宾路办事处西黄刘村252号</t>
  </si>
  <si>
    <t>4FA-023</t>
  </si>
  <si>
    <t>A1268</t>
  </si>
  <si>
    <t>刘丹</t>
  </si>
  <si>
    <t>412821198701011029</t>
  </si>
  <si>
    <t>郑州市金水区沙口路1号院20号楼273号</t>
  </si>
  <si>
    <t>3F5-008</t>
  </si>
  <si>
    <t>2019-7-10</t>
  </si>
  <si>
    <t>19.7.10由3F5-043/3F5-056调房至此</t>
  </si>
  <si>
    <t>A1271</t>
  </si>
  <si>
    <t>杨金宝</t>
  </si>
  <si>
    <t>230127199009100219</t>
  </si>
  <si>
    <t>哈尔滨市南岗区学兴路科大小区301栋5单元201室</t>
  </si>
  <si>
    <t>4F1-042</t>
  </si>
  <si>
    <t>A1272</t>
  </si>
  <si>
    <t>乔宗瑞</t>
  </si>
  <si>
    <t>410184199208192524</t>
  </si>
  <si>
    <t>河南省新郑市龙湖镇小乔沟64号</t>
  </si>
  <si>
    <t>1F2-076</t>
  </si>
  <si>
    <t>A1273</t>
  </si>
  <si>
    <t>魏如义</t>
  </si>
  <si>
    <t>410224198306083270</t>
  </si>
  <si>
    <t>三全路90号院</t>
  </si>
  <si>
    <t>3FA-029</t>
  </si>
  <si>
    <t>A1274</t>
  </si>
  <si>
    <t>单雪丽</t>
  </si>
  <si>
    <t>412728198610011604</t>
  </si>
  <si>
    <t>河南省沈丘县北杨集乡大卞庄行政村单腰庄000号</t>
  </si>
  <si>
    <t>1F7-066</t>
  </si>
  <si>
    <t>A1275</t>
  </si>
  <si>
    <t>杜爱粉</t>
  </si>
  <si>
    <t>410107196206090544</t>
  </si>
  <si>
    <t>郑州市金水区天赋路29号4号楼34号</t>
  </si>
  <si>
    <t>4F1-031</t>
  </si>
  <si>
    <t>A1276</t>
  </si>
  <si>
    <t>乔剑</t>
  </si>
  <si>
    <t>41010119881226201X</t>
  </si>
  <si>
    <t>4F1-030</t>
  </si>
  <si>
    <t>A1277-1</t>
  </si>
  <si>
    <t>杜志清</t>
  </si>
  <si>
    <t>230302197408026719</t>
  </si>
  <si>
    <t>郑州市经济技术开发区经开第七大街99号院1号楼1607号</t>
  </si>
  <si>
    <t>1F5-043</t>
  </si>
  <si>
    <t>A1277-2</t>
  </si>
  <si>
    <t>3F9-006</t>
  </si>
  <si>
    <t>A1278</t>
  </si>
  <si>
    <t>李健、袁惠玲</t>
  </si>
  <si>
    <t>211404198810096010、410223198801105549</t>
  </si>
  <si>
    <t>3F2-039</t>
  </si>
  <si>
    <t>A1280</t>
  </si>
  <si>
    <t>蔡红霞、高暕雯</t>
  </si>
  <si>
    <t>41010219681213156X</t>
  </si>
  <si>
    <t>郑州市中原区文化宫路106号院2号楼2单元3号</t>
  </si>
  <si>
    <t>4F4-049</t>
  </si>
  <si>
    <t>A1281</t>
  </si>
  <si>
    <t>郭红梅</t>
  </si>
  <si>
    <t>411222197407244524</t>
  </si>
  <si>
    <t>郑州市金水区北环路62号院8号楼413号</t>
  </si>
  <si>
    <t>13598801271</t>
  </si>
  <si>
    <t>1F2-069</t>
  </si>
  <si>
    <t>由3F1-082调房至此</t>
  </si>
  <si>
    <t>A1285</t>
  </si>
  <si>
    <t>魏子晴</t>
  </si>
  <si>
    <t>411103201511200120</t>
  </si>
  <si>
    <t>1F7-031</t>
  </si>
  <si>
    <t>A1286</t>
  </si>
  <si>
    <t>王宏伟</t>
  </si>
  <si>
    <t>410123197910125039</t>
  </si>
  <si>
    <t>河南省新郑市八千乡刘店188号</t>
  </si>
  <si>
    <t>3FA-127</t>
  </si>
  <si>
    <t>A1287</t>
  </si>
  <si>
    <t>王新卫</t>
  </si>
  <si>
    <t>410123197810015019</t>
  </si>
  <si>
    <t>3FA-125</t>
  </si>
  <si>
    <t>A1288</t>
  </si>
  <si>
    <t>王志卫</t>
  </si>
  <si>
    <t>410123197612015018</t>
  </si>
  <si>
    <t>3FA-126</t>
  </si>
  <si>
    <t>A1289</t>
  </si>
  <si>
    <t>朱孝义</t>
  </si>
  <si>
    <t>411421198409252429</t>
  </si>
  <si>
    <t>河南省民权县野岗乡雷庄村委109号</t>
  </si>
  <si>
    <t>1F8-136</t>
  </si>
  <si>
    <t>A1290</t>
  </si>
  <si>
    <t>杨海山</t>
  </si>
  <si>
    <t>410122197606112915</t>
  </si>
  <si>
    <t>河南省中牟县三官庙乡小高庄47号</t>
  </si>
  <si>
    <t>3F7-026</t>
  </si>
  <si>
    <t>A1292</t>
  </si>
  <si>
    <t>王艳艳</t>
  </si>
  <si>
    <t>410381198503200520</t>
  </si>
  <si>
    <t>河南省偃师市城关镇车站路72号院</t>
  </si>
  <si>
    <t>3F6-115</t>
  </si>
  <si>
    <t>禹建宏已退款完</t>
  </si>
  <si>
    <t>A1293</t>
  </si>
  <si>
    <t>王春雷</t>
  </si>
  <si>
    <t>410222199301164057</t>
  </si>
  <si>
    <t>河南省通许县练城乡抚王村一组</t>
  </si>
  <si>
    <t>4F2-028</t>
  </si>
  <si>
    <t>A1295</t>
  </si>
  <si>
    <t>郭亚君</t>
  </si>
  <si>
    <t>410103197005312429</t>
  </si>
  <si>
    <t>郑州市金水区文化路20号院1号楼46号</t>
  </si>
  <si>
    <t>13598091956</t>
  </si>
  <si>
    <t>2FB-106</t>
  </si>
  <si>
    <t>A1296</t>
  </si>
  <si>
    <t>何伟杰</t>
  </si>
  <si>
    <t>410105196911281036</t>
  </si>
  <si>
    <t>广东省深圳市福田区景田南路2号国泰豪园璞玉轩1308</t>
  </si>
  <si>
    <t>3F8-120</t>
  </si>
  <si>
    <t>2020-10-7</t>
  </si>
  <si>
    <t>A1297</t>
  </si>
  <si>
    <t>陈其正</t>
  </si>
  <si>
    <t>41018319831006101X</t>
  </si>
  <si>
    <t>河南省荥阳市乔楼镇陈砦村陈楼东36号</t>
  </si>
  <si>
    <t>3F1-105</t>
  </si>
  <si>
    <t>A1298-2</t>
  </si>
  <si>
    <t>楚超</t>
  </si>
  <si>
    <t>410183198802190010</t>
  </si>
  <si>
    <t>河南省荥阳市京城办家河路123号1号楼019号</t>
  </si>
  <si>
    <t>3F4-087</t>
  </si>
  <si>
    <t>A1301</t>
  </si>
  <si>
    <t>李振宽</t>
  </si>
  <si>
    <t>410224198709075611</t>
  </si>
  <si>
    <t>河南省开封县万隆乡万隆村十二组</t>
  </si>
  <si>
    <t>15981852341</t>
  </si>
  <si>
    <t>4FB-110</t>
  </si>
  <si>
    <t>A1303</t>
  </si>
  <si>
    <t>曹建军</t>
  </si>
  <si>
    <t>411082198407239012</t>
  </si>
  <si>
    <t>河南省长葛市社办市兴街建行家属院</t>
  </si>
  <si>
    <t>1F8-104</t>
  </si>
  <si>
    <t>A1304</t>
  </si>
  <si>
    <t>陈艳丽</t>
  </si>
  <si>
    <t>411123198504247546</t>
  </si>
  <si>
    <t>郑州市金水区南阳路99号1号楼13号</t>
  </si>
  <si>
    <t>3F6-036</t>
  </si>
  <si>
    <t>A1305</t>
  </si>
  <si>
    <t>刘朋超</t>
  </si>
  <si>
    <t>411025198911125033</t>
  </si>
  <si>
    <t>河南省襄城县茨沟乡铁刘村</t>
  </si>
  <si>
    <t>2FA-024</t>
  </si>
  <si>
    <t>申报金额未包含需退款（但提交多付的9146的发票）</t>
  </si>
  <si>
    <t>A1306</t>
  </si>
  <si>
    <t>刘秋明</t>
  </si>
  <si>
    <t>410105197202073829</t>
  </si>
  <si>
    <t>郑州市金水区文化路23号院12号楼53号</t>
  </si>
  <si>
    <t>2FA-082</t>
  </si>
  <si>
    <t>2020-8-26</t>
  </si>
  <si>
    <t>刘国玉更名</t>
  </si>
  <si>
    <t>暂未提供任何资料</t>
  </si>
  <si>
    <t>A1307-1</t>
  </si>
  <si>
    <t>刘文英</t>
  </si>
  <si>
    <t>410105196612062781</t>
  </si>
  <si>
    <t>郑州市金水区朝阳路15号院10号楼28号</t>
  </si>
  <si>
    <t>3F2-046</t>
  </si>
  <si>
    <t>A1307-2</t>
  </si>
  <si>
    <t>3F2-044</t>
  </si>
  <si>
    <t>A1309</t>
  </si>
  <si>
    <t>卢盼盼</t>
  </si>
  <si>
    <t>411281198607152522</t>
  </si>
  <si>
    <t>河南省鹤壁市鹤山区鹤壁集乡东杨邑村1号院</t>
  </si>
  <si>
    <t>13403928508/13603925097</t>
  </si>
  <si>
    <t>1FA-051</t>
  </si>
  <si>
    <t>2018-10-31</t>
  </si>
  <si>
    <t>A1310</t>
  </si>
  <si>
    <t>马洁</t>
  </si>
  <si>
    <t>410104198602060187</t>
  </si>
  <si>
    <t>郑州市管城回族区航海东路236号院3号楼33号</t>
  </si>
  <si>
    <t>3F6-126</t>
  </si>
  <si>
    <t>A1311</t>
  </si>
  <si>
    <t>欧阳艺帆</t>
  </si>
  <si>
    <t>410527199412210026</t>
  </si>
  <si>
    <t>河南省内黄县城关镇北大街132号</t>
  </si>
  <si>
    <t>3F5-066</t>
  </si>
  <si>
    <t>A1312</t>
  </si>
  <si>
    <t>苏晓娣</t>
  </si>
  <si>
    <t>410224199004262040</t>
  </si>
  <si>
    <t>河南省开封县罗王乡孙寨村二组</t>
  </si>
  <si>
    <t>4F5-018</t>
  </si>
  <si>
    <t>2020-11-30</t>
  </si>
  <si>
    <t>A1313</t>
  </si>
  <si>
    <t>闫爱玲</t>
  </si>
  <si>
    <t>410711196812040560</t>
  </si>
  <si>
    <t>河南省新乡市牧野区王村乡栗屯村119号</t>
  </si>
  <si>
    <t>1F8-058</t>
  </si>
  <si>
    <t>A1314</t>
  </si>
  <si>
    <t>王会琴</t>
  </si>
  <si>
    <t>410223198809195040</t>
  </si>
  <si>
    <t>河南省尉氏县门楼任乡郭潘王村六组</t>
  </si>
  <si>
    <t>3F2-019</t>
  </si>
  <si>
    <t>陈雪玲已退完</t>
  </si>
  <si>
    <t>A1316</t>
  </si>
  <si>
    <t>朱晶晶</t>
  </si>
  <si>
    <t>411002198501200067</t>
  </si>
  <si>
    <t>河南省禹州市褚河乡张王村5组</t>
  </si>
  <si>
    <t>2FA-046</t>
  </si>
  <si>
    <t>维修基金报1827元，附1847元收据，原销控表维修基金1724元</t>
  </si>
  <si>
    <t>A1317</t>
  </si>
  <si>
    <t>李纪伟</t>
  </si>
  <si>
    <t>41272819960826421X</t>
  </si>
  <si>
    <t>河南省沈丘市李老庄乡李老庄行政村李老庄132号</t>
  </si>
  <si>
    <t>1F8-102</t>
  </si>
  <si>
    <t>2019-12-29</t>
  </si>
  <si>
    <t>2019-1-19</t>
  </si>
  <si>
    <t>A1318</t>
  </si>
  <si>
    <t>孙著悦</t>
  </si>
  <si>
    <t>411321198904180027</t>
  </si>
  <si>
    <t>郑州市金水区花园北路59号院新楼中楼6号楼33号</t>
  </si>
  <si>
    <t>4FA-130</t>
  </si>
  <si>
    <t>A1319</t>
  </si>
  <si>
    <t>于果</t>
  </si>
  <si>
    <t>410103198308233220</t>
  </si>
  <si>
    <t>郑州市二七区马砦街10号楼3号</t>
  </si>
  <si>
    <t>3F1-104</t>
  </si>
  <si>
    <t>A1321</t>
  </si>
  <si>
    <t>窦玲玲</t>
  </si>
  <si>
    <t>411219196406190023</t>
  </si>
  <si>
    <t>河南省金水区祭城镇八里庙村9号楼2单元9号</t>
  </si>
  <si>
    <t>3F2-059</t>
  </si>
  <si>
    <t>A1322</t>
  </si>
  <si>
    <t>朱国旗、金凤</t>
  </si>
  <si>
    <t>412724197701056613</t>
  </si>
  <si>
    <t>河南省太康县张集乡王庄寨行政村王庄寨村268号</t>
  </si>
  <si>
    <t>3F6-093</t>
  </si>
  <si>
    <t>A1323</t>
  </si>
  <si>
    <t>李坤</t>
  </si>
  <si>
    <t>410621198708084535</t>
  </si>
  <si>
    <t>河南省浚县新镇镇新码头村235号</t>
  </si>
  <si>
    <t>3F7-115</t>
  </si>
  <si>
    <t>A1324</t>
  </si>
  <si>
    <t>薛铁柱</t>
  </si>
  <si>
    <t>410826197110112536</t>
  </si>
  <si>
    <t>河南省孟州市河阳办四联村一号</t>
  </si>
  <si>
    <t>3F1-082</t>
  </si>
  <si>
    <t>A1325</t>
  </si>
  <si>
    <t>寇晓兵</t>
  </si>
  <si>
    <t>410922198811264123</t>
  </si>
  <si>
    <t>河南省清丰县柳格镇寇家村4排</t>
  </si>
  <si>
    <t>1F8-019</t>
  </si>
  <si>
    <t>A1326-1</t>
  </si>
  <si>
    <t>范芙蓉</t>
  </si>
  <si>
    <t>410185196811039826</t>
  </si>
  <si>
    <t>河南省登封市嵩阳办事处中岳</t>
  </si>
  <si>
    <t>1F8-009</t>
  </si>
  <si>
    <t>2020-7-19</t>
  </si>
  <si>
    <t>A1326-2</t>
  </si>
  <si>
    <t>1F8-010</t>
  </si>
  <si>
    <t>A1328</t>
  </si>
  <si>
    <t>王威</t>
  </si>
  <si>
    <t>410221198001090016</t>
  </si>
  <si>
    <t>1F8-113</t>
  </si>
  <si>
    <t>2019-7-29</t>
  </si>
  <si>
    <t>A1329</t>
  </si>
  <si>
    <t>余凤</t>
  </si>
  <si>
    <t>413021197902180040</t>
  </si>
  <si>
    <t>河南省信阳市浉河区运输新村14号楼1单元3号</t>
  </si>
  <si>
    <t>1F7-076</t>
  </si>
  <si>
    <t>A1330</t>
  </si>
  <si>
    <t>赵玉龙</t>
  </si>
  <si>
    <t>412724199106067990</t>
  </si>
  <si>
    <t>17737182418\  17737186606</t>
  </si>
  <si>
    <t>1F7-072</t>
  </si>
  <si>
    <t>A1331</t>
  </si>
  <si>
    <t>张萌竹</t>
  </si>
  <si>
    <t>370205198305301027</t>
  </si>
  <si>
    <t>山东省青岛市市北区兴元一路4号1单元301户</t>
  </si>
  <si>
    <t>A1333</t>
  </si>
  <si>
    <t>马晓晴</t>
  </si>
  <si>
    <t>412728199304140568</t>
  </si>
  <si>
    <t>河南省沈丘县北郊乡北马庄行政村马庄050号</t>
  </si>
  <si>
    <t>2FA-033</t>
  </si>
  <si>
    <t>A1335</t>
  </si>
  <si>
    <t>胡述光</t>
  </si>
  <si>
    <t>410603196902151074</t>
  </si>
  <si>
    <t>河南省鹤壁市山城区电厂路火电厂12号楼29号</t>
  </si>
  <si>
    <t>1F6-008</t>
  </si>
  <si>
    <t>按销控表数据认定，附部分购房协议，未附其他凭证</t>
  </si>
  <si>
    <t>A1336</t>
  </si>
  <si>
    <t>刘喜军</t>
  </si>
  <si>
    <t>410603198111080512</t>
  </si>
  <si>
    <t>河南省鹤壁市淇滨区九州路市委一号院1号楼</t>
  </si>
  <si>
    <t>2FA-023</t>
  </si>
  <si>
    <t>2019-3-8</t>
  </si>
  <si>
    <t>A1337</t>
  </si>
  <si>
    <t>张士新</t>
  </si>
  <si>
    <t>412902195910236112</t>
  </si>
  <si>
    <t>河南省邓州市林扒镇文化路2号</t>
  </si>
  <si>
    <t>1F8-016</t>
  </si>
  <si>
    <t>A1344-1</t>
  </si>
  <si>
    <t>冯爱银</t>
  </si>
  <si>
    <t>412827197103030047</t>
  </si>
  <si>
    <t>河南省平舆县古槐街道办事处解放街40号</t>
  </si>
  <si>
    <t>1F3-027</t>
  </si>
  <si>
    <t>底价50000</t>
  </si>
  <si>
    <t>A1344-2</t>
  </si>
  <si>
    <t>1F3-026</t>
  </si>
  <si>
    <t>A1346</t>
  </si>
  <si>
    <t>刘海云</t>
  </si>
  <si>
    <t>410782198610291286</t>
  </si>
  <si>
    <t>河南省辉县市赵固乡河西小庄村159号</t>
  </si>
  <si>
    <t>1F6-081</t>
  </si>
  <si>
    <t>2020-8-17</t>
  </si>
  <si>
    <t>A1348</t>
  </si>
  <si>
    <t>李纪翱</t>
  </si>
  <si>
    <t>410726200609240253</t>
  </si>
  <si>
    <t>河南省延津县城关镇建设路税务局家属楼4单元2楼东户</t>
  </si>
  <si>
    <t>1F7-059</t>
  </si>
  <si>
    <t>A1351</t>
  </si>
  <si>
    <t>樊亚超</t>
  </si>
  <si>
    <t>410182199108220716</t>
  </si>
  <si>
    <t>河南省新密市曲梁镇杨庄村杨庄116号</t>
  </si>
  <si>
    <t>1F7-101</t>
  </si>
  <si>
    <t>A1352</t>
  </si>
  <si>
    <t>雷小青</t>
  </si>
  <si>
    <t>410182198808074946</t>
  </si>
  <si>
    <t>河南省新密市西大街办事处马鞍河村刘家门23号</t>
  </si>
  <si>
    <t>3F5-061</t>
  </si>
  <si>
    <t>A1353</t>
  </si>
  <si>
    <t>马爱莲</t>
  </si>
  <si>
    <t>412727197709225425</t>
  </si>
  <si>
    <t>河南省淮阳县豆门乡各营村006号</t>
  </si>
  <si>
    <t>1F7-052</t>
  </si>
  <si>
    <t>A1354</t>
  </si>
  <si>
    <t>宋志浩</t>
  </si>
  <si>
    <t>410502198302203536</t>
  </si>
  <si>
    <t>郑州市中原区棉纺西路26号4号楼1单元609号</t>
  </si>
  <si>
    <t>3FA-042</t>
  </si>
  <si>
    <t>A1359</t>
  </si>
  <si>
    <t>崔海艳、经梦月</t>
  </si>
  <si>
    <t>41272719760720130X、411422199705143027</t>
  </si>
  <si>
    <t>河南省淮阳市齐老乡大崔村</t>
  </si>
  <si>
    <t>17603857359
18860371539</t>
  </si>
  <si>
    <t>1F7-039</t>
  </si>
  <si>
    <t>A1360</t>
  </si>
  <si>
    <t>杜广路</t>
  </si>
  <si>
    <t>410481198705200014</t>
  </si>
  <si>
    <t>河南省武钢市朱兰健康南路13号院4号203号</t>
  </si>
  <si>
    <t>1F8-022</t>
  </si>
  <si>
    <t>A1361</t>
  </si>
  <si>
    <t>范文凤</t>
  </si>
  <si>
    <t>412724198402255844</t>
  </si>
  <si>
    <t>河南省太康县符草楼镇明光行政村范店</t>
  </si>
  <si>
    <t>3F6-106</t>
  </si>
  <si>
    <t>5.12已补170000</t>
  </si>
  <si>
    <t>A1363</t>
  </si>
  <si>
    <t>刘春艳</t>
  </si>
  <si>
    <t>370303198401160044</t>
  </si>
  <si>
    <t>河南省新郑市梨河镇宋庄212号</t>
  </si>
  <si>
    <t>3F7-017</t>
  </si>
  <si>
    <t>A1364</t>
  </si>
  <si>
    <t>吕彦涛</t>
  </si>
  <si>
    <t>412326198512190616</t>
  </si>
  <si>
    <t>河南省夏邑县会亭镇东街村110号</t>
  </si>
  <si>
    <t>15803826061、15036179679</t>
  </si>
  <si>
    <t>3FA-045</t>
  </si>
  <si>
    <t>A1365</t>
  </si>
  <si>
    <t>马静</t>
  </si>
  <si>
    <t>410821199608044021</t>
  </si>
  <si>
    <t>河南省修武县五里源乡五里源村东街168号</t>
  </si>
  <si>
    <t>3F2-045</t>
  </si>
  <si>
    <t>A1366</t>
  </si>
  <si>
    <t>钱睿</t>
  </si>
  <si>
    <t>41010519910630004X</t>
  </si>
  <si>
    <t>河南省中牟县狼城岗镇南仁村1026号</t>
  </si>
  <si>
    <t>4F9-048</t>
  </si>
  <si>
    <t>2020-8-16</t>
  </si>
  <si>
    <t>A1368</t>
  </si>
  <si>
    <t>孟水亮</t>
  </si>
  <si>
    <t>410103195603151013</t>
  </si>
  <si>
    <t>郑州市二七区北福华街2号院8号楼2号</t>
  </si>
  <si>
    <t>4F5-035</t>
  </si>
  <si>
    <t>2019-11-5</t>
  </si>
  <si>
    <t>A1369</t>
  </si>
  <si>
    <t>孙建伟</t>
  </si>
  <si>
    <t>412727197712143551</t>
  </si>
  <si>
    <t>河南省淮阳县白楼乡李楼村213号</t>
  </si>
  <si>
    <t>4F4-061</t>
  </si>
  <si>
    <t>A1371</t>
  </si>
  <si>
    <t>王赛</t>
  </si>
  <si>
    <t>41014419900305568X</t>
  </si>
  <si>
    <t>天津市津南区咸水沽镇照明南里20号楼1门502号</t>
  </si>
  <si>
    <t>1F7-104</t>
  </si>
  <si>
    <t>A1372</t>
  </si>
  <si>
    <t>王喜庆</t>
  </si>
  <si>
    <t>410221198203285233</t>
  </si>
  <si>
    <t>河南省杞县苏木乡省道街47号</t>
  </si>
  <si>
    <t>3F1-103</t>
  </si>
  <si>
    <t>2020-8-24</t>
  </si>
  <si>
    <t>A1373</t>
  </si>
  <si>
    <t>王晓萌</t>
  </si>
  <si>
    <t>410102199004270100</t>
  </si>
  <si>
    <t>郑州市中原区中原东路65号附12号</t>
  </si>
  <si>
    <t>3FA-121</t>
  </si>
  <si>
    <t>A1376</t>
  </si>
  <si>
    <t>殷全敏</t>
  </si>
  <si>
    <t>413026197910216340</t>
  </si>
  <si>
    <t>河南省固始县象河镇乡闫桥村新河村民组</t>
  </si>
  <si>
    <t>15036000698、13523532829</t>
  </si>
  <si>
    <t>3F6-018</t>
  </si>
  <si>
    <t>A1378</t>
  </si>
  <si>
    <t>安瑞双</t>
  </si>
  <si>
    <t>410781198411205158</t>
  </si>
  <si>
    <t>河南省卫辉市上乐村镇武庄村574号</t>
  </si>
  <si>
    <t>3F6-108</t>
  </si>
  <si>
    <t>A1380</t>
  </si>
  <si>
    <t>张霞</t>
  </si>
  <si>
    <t>412927197908076929</t>
  </si>
  <si>
    <t>河南省淅川县香花镇香花村香北组6号</t>
  </si>
  <si>
    <t>2FA-008</t>
  </si>
  <si>
    <t>A1381</t>
  </si>
  <si>
    <t>郑建平</t>
  </si>
  <si>
    <t>410104198808120077</t>
  </si>
  <si>
    <t>郑州市金水区燕沈路41号院9号楼13号</t>
  </si>
  <si>
    <t>3F1-099</t>
  </si>
  <si>
    <t>2019.5.7已补60000</t>
  </si>
  <si>
    <t>仅提供商品房认购协议且未填写申报金额，需补充提供收据、发票、银行转账记录等材料</t>
  </si>
  <si>
    <t>A1382</t>
  </si>
  <si>
    <t>郑妍菲</t>
  </si>
  <si>
    <t>410104198507280026</t>
  </si>
  <si>
    <t>3F1-098</t>
  </si>
  <si>
    <t>A1383</t>
  </si>
  <si>
    <t>孙红军/孙贤祖</t>
  </si>
  <si>
    <t>412328196902220116/4123281941075013X</t>
  </si>
  <si>
    <t>郑州市二七区西陈庄前街129号院2号楼3单元4号</t>
  </si>
  <si>
    <t>1F8-092</t>
  </si>
  <si>
    <t>A1384</t>
  </si>
  <si>
    <t>郭晓钰</t>
  </si>
  <si>
    <t>410106197401030027</t>
  </si>
  <si>
    <t>郑州市中原区中原中路123号世纪豫花园11号楼2单元20号</t>
  </si>
  <si>
    <t>1F5-037</t>
  </si>
  <si>
    <t>A1386</t>
  </si>
  <si>
    <t>孙春杰</t>
  </si>
  <si>
    <t>412701198112030546</t>
  </si>
  <si>
    <t>郑州市金水区南阳路206号23号楼136号</t>
  </si>
  <si>
    <t>3F6-098</t>
  </si>
  <si>
    <t>A1387</t>
  </si>
  <si>
    <t>陈高云</t>
  </si>
  <si>
    <t>342523199010188821</t>
  </si>
  <si>
    <t>安徽省广德县邱村镇祥凌村项村33号</t>
  </si>
  <si>
    <t>15515942888、15939000545</t>
  </si>
  <si>
    <t>3F6-090</t>
  </si>
  <si>
    <t>A1388</t>
  </si>
  <si>
    <t>方晓瑞</t>
  </si>
  <si>
    <t>410202198110071544</t>
  </si>
  <si>
    <t>郑州市金水区金水路12号</t>
  </si>
  <si>
    <t>15237127576、13838225788</t>
  </si>
  <si>
    <t>3F2-010</t>
  </si>
  <si>
    <t>A1389</t>
  </si>
  <si>
    <t>吉燕伟</t>
  </si>
  <si>
    <t>410928199407262145</t>
  </si>
  <si>
    <t>河南省濮阳县文留镇吉庄村2号</t>
  </si>
  <si>
    <t>18339305326、17788163635</t>
  </si>
  <si>
    <t>4F4-017</t>
  </si>
  <si>
    <t>A1390</t>
  </si>
  <si>
    <t>杨旭华、王远</t>
  </si>
  <si>
    <t>411002197102141544</t>
  </si>
  <si>
    <t>郑州市二七区大学北路30号院5号楼303号</t>
  </si>
  <si>
    <t>3F6-124</t>
  </si>
  <si>
    <t>A1397-1</t>
  </si>
  <si>
    <t>刘东方</t>
  </si>
  <si>
    <t>410522196307296811</t>
  </si>
  <si>
    <t>河南省安阳市文峰区王村新1村3号楼1单元401号</t>
  </si>
  <si>
    <t>3F2-060</t>
  </si>
  <si>
    <t>POS小票不清晰，手写注明金额36020，收款人未知，是否与房款总额重叠？</t>
  </si>
  <si>
    <t>A1397-2</t>
  </si>
  <si>
    <t>3F2-061</t>
  </si>
  <si>
    <t>POS小票不清晰，手写注明金额31986，收款人未知，是否与房款总额重叠？</t>
  </si>
  <si>
    <t>A1399</t>
  </si>
  <si>
    <t>李莎莎</t>
  </si>
  <si>
    <t>410883198512270029</t>
  </si>
  <si>
    <t>河南省孟州市会昌办商贸城南京路7号</t>
  </si>
  <si>
    <t>3F4-045</t>
  </si>
  <si>
    <t>2019-9-7</t>
  </si>
  <si>
    <t>A1400</t>
  </si>
  <si>
    <t>耿志豪</t>
  </si>
  <si>
    <t>410883199811296557</t>
  </si>
  <si>
    <t>3F4-046</t>
  </si>
  <si>
    <t>A1402</t>
  </si>
  <si>
    <t>411323198211240077</t>
  </si>
  <si>
    <t>河南省浙川县城关镇人民路134附11号</t>
  </si>
  <si>
    <t>3F8-090</t>
  </si>
  <si>
    <t>A1404</t>
  </si>
  <si>
    <t>李培花、陈朋辉</t>
  </si>
  <si>
    <t>410422199005012244、'411082199004024257</t>
  </si>
  <si>
    <t>河南省长葛市董村镇十里铺村5组</t>
  </si>
  <si>
    <t>3F8-054</t>
  </si>
  <si>
    <t>A1406</t>
  </si>
  <si>
    <t>平垒、杨红娜</t>
  </si>
  <si>
    <t>410183198302201537、41052719821213292X</t>
  </si>
  <si>
    <t>河南省内黄县井店镇南街村448号</t>
  </si>
  <si>
    <t>3F1-100</t>
  </si>
  <si>
    <t>A1407</t>
  </si>
  <si>
    <t>李秋华</t>
  </si>
  <si>
    <t>412927196206170027</t>
  </si>
  <si>
    <t>河南省浙川县城关镇冬青市民98号</t>
  </si>
  <si>
    <t>3F8-091</t>
  </si>
  <si>
    <t>A1411</t>
  </si>
  <si>
    <t>李天泽、李建松</t>
  </si>
  <si>
    <t>410106199404210114、41010519631024335X</t>
  </si>
  <si>
    <t>郑州市金水区纬五路29号院1号楼2号</t>
  </si>
  <si>
    <t>3F6-095</t>
  </si>
  <si>
    <t>2019-7-23</t>
  </si>
  <si>
    <t>A1412</t>
  </si>
  <si>
    <t>彭萍、吴高玉</t>
  </si>
  <si>
    <t>412932196412123644、412932197311251385</t>
  </si>
  <si>
    <t>河南省桐柏县城关镇淮源路498号附38号</t>
  </si>
  <si>
    <t>3F2-051</t>
  </si>
  <si>
    <t>A1413</t>
  </si>
  <si>
    <t>吴高月</t>
  </si>
  <si>
    <t>412932197111290021</t>
  </si>
  <si>
    <t>河南省南阳市卧龙区红庙659</t>
  </si>
  <si>
    <t>3F5-032</t>
  </si>
  <si>
    <t>A1415</t>
  </si>
  <si>
    <t>孙心旭</t>
  </si>
  <si>
    <t>412726199205254954</t>
  </si>
  <si>
    <t>河南省郸城县宜路镇孙寨行政村孙寨村四组97号</t>
  </si>
  <si>
    <t>4F6-012</t>
  </si>
  <si>
    <t>A1416</t>
  </si>
  <si>
    <t>郭红燕、范东亮</t>
  </si>
  <si>
    <t>410182198604141502</t>
  </si>
  <si>
    <t>河南省新密市超化镇王岗村范沟86号</t>
  </si>
  <si>
    <t>3F4-005</t>
  </si>
  <si>
    <t>A1417</t>
  </si>
  <si>
    <t>刘园园</t>
  </si>
  <si>
    <t>412721198803020369</t>
  </si>
  <si>
    <t>河南省扶沟县城关镇吉祥路中段和平路151号</t>
  </si>
  <si>
    <t>3F8-123</t>
  </si>
  <si>
    <t>A1418</t>
  </si>
  <si>
    <t>刘萌</t>
  </si>
  <si>
    <t>410122198710235768</t>
  </si>
  <si>
    <t>河南省中牟县韩寺镇刘庄村63号</t>
  </si>
  <si>
    <t>3F1-102</t>
  </si>
  <si>
    <t>A1419</t>
  </si>
  <si>
    <t>李松敏</t>
  </si>
  <si>
    <t>410125196803263012</t>
  </si>
  <si>
    <t xml:space="preserve"> 河南省登封市徐庄乡兴裕大道7号院</t>
  </si>
  <si>
    <t>3F4-094</t>
  </si>
  <si>
    <t>A1420</t>
  </si>
  <si>
    <t>李文霞</t>
  </si>
  <si>
    <t>412724198308142149</t>
  </si>
  <si>
    <t>郑州市金水区郑花路59号院左岸国际1号楼603号</t>
  </si>
  <si>
    <t>3F9-052</t>
  </si>
  <si>
    <t>A1421</t>
  </si>
  <si>
    <t>王永娜</t>
  </si>
  <si>
    <t>412727198802142346</t>
  </si>
  <si>
    <t>广东省深圳市罗湖区东门北路1017号大院</t>
  </si>
  <si>
    <t>4F5-029</t>
  </si>
  <si>
    <t>2019-11-1</t>
  </si>
  <si>
    <t>A1423</t>
  </si>
  <si>
    <t>徐远春</t>
  </si>
  <si>
    <t>412822198006074200</t>
  </si>
  <si>
    <t>河南省泌阳县古城办事处新兴居委会行政路东1-6号</t>
  </si>
  <si>
    <t>1F2-065</t>
  </si>
  <si>
    <t>A1424</t>
  </si>
  <si>
    <t>苏满</t>
  </si>
  <si>
    <t>41282219770313004X</t>
  </si>
  <si>
    <t>河南省泌阳县泌水镇陈营居委会风光巷334-3号</t>
  </si>
  <si>
    <t>1F2-072</t>
  </si>
  <si>
    <t>A1427</t>
  </si>
  <si>
    <t>周景芝/陈华</t>
  </si>
  <si>
    <t>410381198409270100/41272719800614042X</t>
  </si>
  <si>
    <t>郑州市管城回族区紫荆山南路388号院5号楼15号/河南省孟津县平乐镇朱仓村</t>
  </si>
  <si>
    <t>4FA-037</t>
  </si>
  <si>
    <t>A1429</t>
  </si>
  <si>
    <t>肖婷</t>
  </si>
  <si>
    <t>41090119900226402X</t>
  </si>
  <si>
    <t>郑州市二七区西工房38号楼2单元9号</t>
  </si>
  <si>
    <t>4F4-066</t>
  </si>
  <si>
    <t>A1432-1</t>
  </si>
  <si>
    <t>李明明</t>
  </si>
  <si>
    <t>411425199103246917</t>
  </si>
  <si>
    <t>河南省虞城县田庙乡寓贤村133</t>
  </si>
  <si>
    <t>18679004887,18296207676</t>
  </si>
  <si>
    <t>1FA-119</t>
  </si>
  <si>
    <t>2019-1-23</t>
  </si>
  <si>
    <t>A1432-2</t>
  </si>
  <si>
    <t>1FA-120</t>
  </si>
  <si>
    <t>A1433</t>
  </si>
  <si>
    <t>石增辉</t>
  </si>
  <si>
    <t>410403198407095552</t>
  </si>
  <si>
    <t>天津市南开区堤南道燕园里6号楼6门302号</t>
  </si>
  <si>
    <t>3F6-058</t>
  </si>
  <si>
    <t>A1434</t>
  </si>
  <si>
    <t>李雨龙</t>
  </si>
  <si>
    <t>410105198812300114</t>
  </si>
  <si>
    <t>郑州市金水区杨金路办事处东马林村29号</t>
  </si>
  <si>
    <t>4F1-101</t>
  </si>
  <si>
    <t>A1436</t>
  </si>
  <si>
    <t>王丽</t>
  </si>
  <si>
    <t>41272519810706032X</t>
  </si>
  <si>
    <t>河南省鹿邑县城关镇县府北街25附1号</t>
  </si>
  <si>
    <t>4F5-028</t>
  </si>
  <si>
    <t>2019-10-9</t>
  </si>
  <si>
    <t>A1437</t>
  </si>
  <si>
    <t>杜文山</t>
  </si>
  <si>
    <t>412822197404134470</t>
  </si>
  <si>
    <t>郑州市二七区铁英街25号院南铁英社区1号</t>
  </si>
  <si>
    <t>1F2-053</t>
  </si>
  <si>
    <t>本人申报少2w，合同已付金额与台账一致，可能未提交定金票据</t>
  </si>
  <si>
    <t>A1438</t>
  </si>
  <si>
    <t>刘艳华</t>
  </si>
  <si>
    <t>412702197309040045</t>
  </si>
  <si>
    <t>河南省项城市花园办事处张老家村2号院</t>
  </si>
  <si>
    <t>1F2-068</t>
  </si>
  <si>
    <t>A1439-1</t>
  </si>
  <si>
    <t>金婷婷</t>
  </si>
  <si>
    <t>411321199404243428</t>
  </si>
  <si>
    <t>郑州市金水区天赋路26号绿地社区1号</t>
  </si>
  <si>
    <t>1F7-045</t>
  </si>
  <si>
    <t>两项物业，金额合并申报</t>
  </si>
  <si>
    <t>A1439-2</t>
  </si>
  <si>
    <t>金婷婷、骆立祥</t>
  </si>
  <si>
    <t>411321199404243488</t>
  </si>
  <si>
    <t>1F8-002</t>
  </si>
  <si>
    <t>A1440</t>
  </si>
  <si>
    <t>赵全兵、李喜红</t>
  </si>
  <si>
    <t>412724198008286132、412724198106265909</t>
  </si>
  <si>
    <t>河南省太康县张集乡刘庄行政村赵古洞村136号</t>
  </si>
  <si>
    <t>1F2-041</t>
  </si>
  <si>
    <t>A1441</t>
  </si>
  <si>
    <t>刘伟/赵欠欠</t>
  </si>
  <si>
    <t>341222198812247194/41088319810275087</t>
  </si>
  <si>
    <t>河南省孟州市河雍办合欢路北段西侧63号</t>
  </si>
  <si>
    <t>3F9-036</t>
  </si>
  <si>
    <t>2020-8-29</t>
  </si>
  <si>
    <t>A1444</t>
  </si>
  <si>
    <t>闫永杰</t>
  </si>
  <si>
    <t>410423196508194038</t>
  </si>
  <si>
    <t>河南省鲁山县背乡大年沟村四组16号</t>
  </si>
  <si>
    <t>3F5-053</t>
  </si>
  <si>
    <t>A1445</t>
  </si>
  <si>
    <t>杨通军</t>
  </si>
  <si>
    <t>452124198812210010</t>
  </si>
  <si>
    <t>广西上林县大丰镇东春村六毛庄19号</t>
  </si>
  <si>
    <t>15778899048</t>
  </si>
  <si>
    <t>4FA-151</t>
  </si>
  <si>
    <t>本人申报少5w，收据与台账一致，可能未提交定金票据</t>
  </si>
  <si>
    <t>A1449</t>
  </si>
  <si>
    <t>李磊</t>
  </si>
  <si>
    <t>41072819770720207X</t>
  </si>
  <si>
    <t>河南省长垣市张寨乡邵寨村10组179号</t>
  </si>
  <si>
    <t>3F8-074</t>
  </si>
  <si>
    <t>A1450</t>
  </si>
  <si>
    <t>何冬梅/高秀平</t>
  </si>
  <si>
    <t>412932196712151583</t>
  </si>
  <si>
    <t>河南省桐柏县埠江镇油田双北区西苑小区5号楼3单元402室</t>
  </si>
  <si>
    <t>1FA-015</t>
  </si>
  <si>
    <t>2020-7-2</t>
  </si>
  <si>
    <t>A1451</t>
  </si>
  <si>
    <t>王珂</t>
  </si>
  <si>
    <t>411325199111273530</t>
  </si>
  <si>
    <t>河南省唐河县郭滩镇南谢庄村王庄88号</t>
  </si>
  <si>
    <t>1F7-060</t>
  </si>
  <si>
    <t>A1452</t>
  </si>
  <si>
    <t>刘瑞萍</t>
  </si>
  <si>
    <t>411421198904060186</t>
  </si>
  <si>
    <t>河南省民权县绿洲街道办事处治安路北段</t>
  </si>
  <si>
    <t>15238589623/17368300199</t>
  </si>
  <si>
    <t>4FA-048</t>
  </si>
  <si>
    <t>A1453</t>
  </si>
  <si>
    <t>徐敏</t>
  </si>
  <si>
    <t>410105199004130182</t>
  </si>
  <si>
    <t>郑州市惠济区迎宾路办事处西黄刘村12号</t>
  </si>
  <si>
    <t>3F6-109</t>
  </si>
  <si>
    <t>A1454</t>
  </si>
  <si>
    <t>李国权</t>
  </si>
  <si>
    <t>412931197612252174</t>
  </si>
  <si>
    <t>河南省新野县上庄乡上凤鸣村上凤鸣385号</t>
  </si>
  <si>
    <t>13838959521、13623995418/13598214622</t>
  </si>
  <si>
    <t>4FA-081</t>
  </si>
  <si>
    <t>2018-11-19</t>
  </si>
  <si>
    <t>应退91731转到1126陶志斌</t>
  </si>
  <si>
    <t>A1455</t>
  </si>
  <si>
    <t>陶志斌</t>
  </si>
  <si>
    <t>412931197211015012</t>
  </si>
  <si>
    <t>河南省新野县上港乡港南村岗南8组</t>
  </si>
  <si>
    <t>18238179333/13598214622</t>
  </si>
  <si>
    <t>1FA-046</t>
  </si>
  <si>
    <t>其中91731没交从426李国权转</t>
  </si>
  <si>
    <t>A1458</t>
  </si>
  <si>
    <t>魏萍</t>
  </si>
  <si>
    <t>410105197211021043</t>
  </si>
  <si>
    <t>郑州市金水区农业路28号院1号楼60号</t>
  </si>
  <si>
    <t>1F2-109A</t>
  </si>
  <si>
    <t>A1459</t>
  </si>
  <si>
    <t>权玲</t>
  </si>
  <si>
    <t>410105195512120521</t>
  </si>
  <si>
    <t>3F7-044</t>
  </si>
  <si>
    <t>韩风霞更</t>
  </si>
  <si>
    <t>A1461</t>
  </si>
  <si>
    <t>马玲玲</t>
  </si>
  <si>
    <t>410122198210182081</t>
  </si>
  <si>
    <t>河南省中牟县刘集镇人民路12号</t>
  </si>
  <si>
    <t>4F1-028</t>
  </si>
  <si>
    <t>2020-8-10</t>
  </si>
  <si>
    <t>A1462</t>
  </si>
  <si>
    <t>刘苗苗</t>
  </si>
  <si>
    <t>412702199210087440</t>
  </si>
  <si>
    <t>河南省项城市团结中路8号</t>
  </si>
  <si>
    <t>4F1-076</t>
  </si>
  <si>
    <t>A1464</t>
  </si>
  <si>
    <t>宋敏</t>
  </si>
  <si>
    <t>410105198612310246</t>
  </si>
  <si>
    <t>郑州市金水区宋砦村1号院7号楼7号</t>
  </si>
  <si>
    <t>3F2-036</t>
  </si>
  <si>
    <t>A1465</t>
  </si>
  <si>
    <t>耿喜萍</t>
  </si>
  <si>
    <t>410111195812060521</t>
  </si>
  <si>
    <t>3F5-076</t>
  </si>
  <si>
    <t>A1466</t>
  </si>
  <si>
    <t>宋媛</t>
  </si>
  <si>
    <t>410105198803060200</t>
  </si>
  <si>
    <t>3F2-038</t>
  </si>
  <si>
    <t>A1468</t>
  </si>
  <si>
    <t>吕武彬</t>
  </si>
  <si>
    <t>41232819470920211X</t>
  </si>
  <si>
    <t>河南省永城市顺和乡夏楼村班庄东组049号</t>
  </si>
  <si>
    <t>13569311732、18768868733</t>
  </si>
  <si>
    <t>4F6-030</t>
  </si>
  <si>
    <t>A1469</t>
  </si>
  <si>
    <t>张群</t>
  </si>
  <si>
    <t>412702197512157847</t>
  </si>
  <si>
    <t>河南省项城市丰收街79号</t>
  </si>
  <si>
    <t>3F8-124</t>
  </si>
  <si>
    <t>A1471</t>
  </si>
  <si>
    <t>翟小燕</t>
  </si>
  <si>
    <t>41082319800904006X</t>
  </si>
  <si>
    <t>河南省武陟县木城镇和平路47号</t>
  </si>
  <si>
    <t>3F8-073</t>
  </si>
  <si>
    <t>A1472</t>
  </si>
  <si>
    <t>李昊李东鹏</t>
  </si>
  <si>
    <t>410882199702080523、410802195905211511</t>
  </si>
  <si>
    <t>河南省焦作市解放区建设西路卫校2号楼西单元9号</t>
  </si>
  <si>
    <t>15893096526、13839135839</t>
  </si>
  <si>
    <t>3F4-049</t>
  </si>
  <si>
    <t>A1473</t>
  </si>
  <si>
    <t>王小霞</t>
  </si>
  <si>
    <t>410802197308283049</t>
  </si>
  <si>
    <t>河南省焦作市解放区新华南街南极巷2号楼2单元11号</t>
  </si>
  <si>
    <t>13783910322、17796871292</t>
  </si>
  <si>
    <t>3F5-099</t>
  </si>
  <si>
    <t>A1478</t>
  </si>
  <si>
    <t>李茹</t>
  </si>
  <si>
    <t>410108199112030081</t>
  </si>
  <si>
    <t xml:space="preserve"> 郑州市惠济区花园口镇李拐村186号</t>
  </si>
  <si>
    <t>3F8-040</t>
  </si>
  <si>
    <t>A1480</t>
  </si>
  <si>
    <t>陈闯</t>
  </si>
  <si>
    <t>412801198207240031</t>
  </si>
  <si>
    <t>河南省洛阳市涧西区西苑路42号</t>
  </si>
  <si>
    <t>3F7-047</t>
  </si>
  <si>
    <t>A1481</t>
  </si>
  <si>
    <t>孙华腾、杨利洁</t>
  </si>
  <si>
    <t>41052719890720001X、410527198911229720</t>
  </si>
  <si>
    <t>河南省内黄县六村乡破车口村590号</t>
  </si>
  <si>
    <t>13213268678、17603859720</t>
  </si>
  <si>
    <t>3F4-080</t>
  </si>
  <si>
    <t>2019-9-4</t>
  </si>
  <si>
    <t>从3F9-058调至此</t>
  </si>
  <si>
    <t>A1483</t>
  </si>
  <si>
    <t>康睿</t>
  </si>
  <si>
    <t>410103198708310184</t>
  </si>
  <si>
    <t>郑州市二七区政通路53号院4号楼26号</t>
  </si>
  <si>
    <t>4F6-040</t>
  </si>
  <si>
    <t>A1487-1</t>
  </si>
  <si>
    <t>张林凤</t>
  </si>
  <si>
    <t>410102195206053026</t>
  </si>
  <si>
    <t>郑州市中原区工人路332号院20号楼3单元36号</t>
  </si>
  <si>
    <t>13523015996
15617833037</t>
  </si>
  <si>
    <t>1F6-023</t>
  </si>
  <si>
    <t>A1487-2</t>
  </si>
  <si>
    <t>1F6-024</t>
  </si>
  <si>
    <t>A1487-3</t>
  </si>
  <si>
    <t>郑州四中原区工人路332号院20号楼3单元36号</t>
  </si>
  <si>
    <t>1F6-026</t>
  </si>
  <si>
    <t>A1491</t>
  </si>
  <si>
    <t>郭建亚、周子昂</t>
  </si>
  <si>
    <t>410621197810025529</t>
  </si>
  <si>
    <t>河南鹤壁市淇滨区黄河路金都小区7号楼栋1单元一楼西户</t>
  </si>
  <si>
    <t>13839205481、13839211432</t>
  </si>
  <si>
    <t>1F8-065</t>
  </si>
  <si>
    <t>2019.6.6姚红飞已退款完</t>
  </si>
  <si>
    <t>A1493</t>
  </si>
  <si>
    <t>刘春玲</t>
  </si>
  <si>
    <t>410123197701024426</t>
  </si>
  <si>
    <t>河南新郑市新港办事处浦庄1号</t>
  </si>
  <si>
    <t>4F4-007</t>
  </si>
  <si>
    <t>A1494</t>
  </si>
  <si>
    <t>侯文林、许全占</t>
  </si>
  <si>
    <t>410825198609091525、410825198604184511</t>
  </si>
  <si>
    <t>河南省温县祥云镇留尚村永安街2号</t>
  </si>
  <si>
    <t>3F4-016</t>
  </si>
  <si>
    <t>A1495</t>
  </si>
  <si>
    <t>葛苏云</t>
  </si>
  <si>
    <t>412923196702011521</t>
  </si>
  <si>
    <t>河南省西峡县城关镇杨庄3号</t>
  </si>
  <si>
    <t>15139030109、15638822868</t>
  </si>
  <si>
    <t>3F2-042</t>
  </si>
  <si>
    <t>A1500</t>
  </si>
  <si>
    <t>贾浩</t>
  </si>
  <si>
    <t>412822199107132734</t>
  </si>
  <si>
    <t>河南省泌阳县羊册镇贾楼村委大贾楼</t>
  </si>
  <si>
    <t>13521601123、13581928991</t>
  </si>
  <si>
    <t>4FA-038</t>
  </si>
  <si>
    <t>A1501</t>
  </si>
  <si>
    <t>楚丹丹</t>
  </si>
  <si>
    <t>410221198907208869</t>
  </si>
  <si>
    <t>河南省杞县城关镇北惠路59号</t>
  </si>
  <si>
    <t>4F5-070</t>
  </si>
  <si>
    <t>A1502</t>
  </si>
  <si>
    <t>田磊</t>
  </si>
  <si>
    <t>410104198512160045</t>
  </si>
  <si>
    <t>郑州市惠济区刘寨村016号</t>
  </si>
  <si>
    <t>3F8-032</t>
  </si>
  <si>
    <t>A1503</t>
  </si>
  <si>
    <t>潘春香</t>
  </si>
  <si>
    <t>410901197406240842</t>
  </si>
  <si>
    <t>河南省濮阳市华龙区中原路351号院10号楼5单元1号</t>
  </si>
  <si>
    <t>3F8-060</t>
  </si>
  <si>
    <t>A1506</t>
  </si>
  <si>
    <t>李淑军</t>
  </si>
  <si>
    <t>410883198805105019</t>
  </si>
  <si>
    <t>河南省孟州市西虢镇店上村二区3号</t>
  </si>
  <si>
    <t>4F9-018</t>
  </si>
  <si>
    <t>2020-9-8</t>
  </si>
  <si>
    <t>A1509</t>
  </si>
  <si>
    <t>孙柁</t>
  </si>
  <si>
    <t>410323197001100038</t>
  </si>
  <si>
    <t>河南省新安县城关镇向阳村</t>
  </si>
  <si>
    <t>3F8-087</t>
  </si>
  <si>
    <t>A1510</t>
  </si>
  <si>
    <t>周倩</t>
  </si>
  <si>
    <t>412701198707211522</t>
  </si>
  <si>
    <t>郑州市二七区百禄街19号院4号楼1004号</t>
  </si>
  <si>
    <t>4F8-018</t>
  </si>
  <si>
    <t>A1511</t>
  </si>
  <si>
    <t>关红召</t>
  </si>
  <si>
    <t>411091197512034974</t>
  </si>
  <si>
    <t>河南省禹州市古城镇大路陈村1组</t>
  </si>
  <si>
    <t>3F8-028</t>
  </si>
  <si>
    <t>A1513-1</t>
  </si>
  <si>
    <t>齐静静</t>
  </si>
  <si>
    <t>412727198611267728</t>
  </si>
  <si>
    <t>河南省中牟县城关镇建设北路3号15楼39号</t>
  </si>
  <si>
    <t>4F9-045</t>
  </si>
  <si>
    <t>2020.8.1补10万</t>
  </si>
  <si>
    <t>A1513-2</t>
  </si>
  <si>
    <t>3F8-021</t>
  </si>
  <si>
    <t>A1514</t>
  </si>
  <si>
    <t>高秀云</t>
  </si>
  <si>
    <t>410122196802060096</t>
  </si>
  <si>
    <t>河南省中牟县建设北路8新16号楼35号</t>
  </si>
  <si>
    <t>3F9-053</t>
  </si>
  <si>
    <t>A1515</t>
  </si>
  <si>
    <t>齐先庆、于秀娟</t>
  </si>
  <si>
    <t>410122197708310015、410122197812020026</t>
  </si>
  <si>
    <t>河南省中牟县城关镇建设北路3号院31号楼14号</t>
  </si>
  <si>
    <t>3F5-040</t>
  </si>
  <si>
    <t>A1516</t>
  </si>
  <si>
    <t>赵玉红、魏震</t>
  </si>
  <si>
    <t>412323197106260080、410104196805124030</t>
  </si>
  <si>
    <t>郑州市二七区连云路128号院7号楼104号</t>
  </si>
  <si>
    <t>3F8-076</t>
  </si>
  <si>
    <t>A1524</t>
  </si>
  <si>
    <t>余惠</t>
  </si>
  <si>
    <t>421121198504064423</t>
  </si>
  <si>
    <t>湖北省团风县总路明镇总路咀村一组42号</t>
  </si>
  <si>
    <t>3F7-060</t>
  </si>
  <si>
    <t>A1525-1</t>
  </si>
  <si>
    <t>潘科伟</t>
  </si>
  <si>
    <t>411024198111061610</t>
  </si>
  <si>
    <t>河南省郑州市金水区金水东路156号</t>
  </si>
  <si>
    <t>A1525-2</t>
  </si>
  <si>
    <t>4FC-033</t>
  </si>
  <si>
    <t>申报金额多加一遍基础两费</t>
  </si>
  <si>
    <t>A1525-3</t>
  </si>
  <si>
    <t>4FC-040</t>
  </si>
  <si>
    <t>A1527</t>
  </si>
  <si>
    <t>王红</t>
  </si>
  <si>
    <t>410122197801020020</t>
  </si>
  <si>
    <t>河南省中牟县刘集乡徐庄村347号</t>
  </si>
  <si>
    <t>4F1-089</t>
  </si>
  <si>
    <t>A1528</t>
  </si>
  <si>
    <t>王爱鸽、袁晓燕</t>
  </si>
  <si>
    <t>410323197505280028、410323198108093522</t>
  </si>
  <si>
    <t>河南省新安县城关镇王庄村二组</t>
  </si>
  <si>
    <t>4F3-022</t>
  </si>
  <si>
    <t>2019.6.28申请退款</t>
  </si>
  <si>
    <t>A1530-1</t>
  </si>
  <si>
    <t>朱烨</t>
  </si>
  <si>
    <t>320911199509141919</t>
  </si>
  <si>
    <t>江苏省盐城市盐都区尚庄镇南吉村四组</t>
  </si>
  <si>
    <t>4F3-018</t>
  </si>
  <si>
    <t>A1530-2</t>
  </si>
  <si>
    <t>3F9-021</t>
  </si>
  <si>
    <t>A1532</t>
  </si>
  <si>
    <t>赵莹</t>
  </si>
  <si>
    <t>410728200003116285</t>
  </si>
  <si>
    <t>河南省濮阳市华龙区建设路中房锦绣花园12号楼1单元3号</t>
  </si>
  <si>
    <t>13683937508/18939396722</t>
  </si>
  <si>
    <t>1F8-145</t>
  </si>
  <si>
    <t>2020-10-28</t>
  </si>
  <si>
    <t>A1534</t>
  </si>
  <si>
    <t>叶凤霞</t>
  </si>
  <si>
    <t>411627197807205827</t>
  </si>
  <si>
    <t>河南省太康县符草楼镇大时行政村谭庄</t>
  </si>
  <si>
    <t>4F3-007</t>
  </si>
  <si>
    <t>A1536</t>
  </si>
  <si>
    <t>陈雪静</t>
  </si>
  <si>
    <t>410103198807250308</t>
  </si>
  <si>
    <t>河南省新郑市和庄镇陶庄104号</t>
  </si>
  <si>
    <t>A1540</t>
  </si>
  <si>
    <t>耿雪芬</t>
  </si>
  <si>
    <t>410303196711240529</t>
  </si>
  <si>
    <t>河南省洛阳市西工区唐宫西路18号院3栋3门201号</t>
  </si>
  <si>
    <t>3F8-075</t>
  </si>
  <si>
    <t>A1541</t>
  </si>
  <si>
    <t>郭瑞波</t>
  </si>
  <si>
    <t>410527199208098014</t>
  </si>
  <si>
    <t>河南省内黄县城关镇郭庄村32号</t>
  </si>
  <si>
    <t>3F8-061</t>
  </si>
  <si>
    <t>未申报两费和中介费</t>
  </si>
  <si>
    <t>A1543</t>
  </si>
  <si>
    <t>杨迎迎</t>
  </si>
  <si>
    <t>411321198912042927</t>
  </si>
  <si>
    <t>河南省桐柏县月河镇沈庄村黄金庄4号</t>
  </si>
  <si>
    <t>4F6-011</t>
  </si>
  <si>
    <t>A1544</t>
  </si>
  <si>
    <t>孟宪秋</t>
  </si>
  <si>
    <t>13220119830816121X</t>
  </si>
  <si>
    <t>武汉市洪山区武南铁路新村4号</t>
  </si>
  <si>
    <t>3F7-108</t>
  </si>
  <si>
    <t>2019-9-16</t>
  </si>
  <si>
    <t>2019-9-19</t>
  </si>
  <si>
    <t>A1547</t>
  </si>
  <si>
    <t>姚凤梅</t>
  </si>
  <si>
    <t>410225198012222980</t>
  </si>
  <si>
    <t>河南省兰考县堌阳镇牛场村一组</t>
  </si>
  <si>
    <t>18137140515/13838209515</t>
  </si>
  <si>
    <t>1FA-050</t>
  </si>
  <si>
    <t>开盘前已认购返一年</t>
  </si>
  <si>
    <t>A1550-1</t>
  </si>
  <si>
    <t>张红琴</t>
  </si>
  <si>
    <t>410823197804266645</t>
  </si>
  <si>
    <t>河南省武陟县龙源镇常庄村一号</t>
  </si>
  <si>
    <t>1F8-026</t>
  </si>
  <si>
    <t>A1555</t>
  </si>
  <si>
    <t>蔡鑫曼</t>
  </si>
  <si>
    <t>413026199611124824</t>
  </si>
  <si>
    <t>河南省固始县段集乡童庙村蔡老家组</t>
  </si>
  <si>
    <t>1F6-064</t>
  </si>
  <si>
    <t>A1557</t>
  </si>
  <si>
    <t>付燕辉</t>
  </si>
  <si>
    <t>410883198811291022</t>
  </si>
  <si>
    <t>河南省孟州市化工镇云水村十区十一排1号</t>
  </si>
  <si>
    <t>1F7-070</t>
  </si>
  <si>
    <t>A1558-1</t>
  </si>
  <si>
    <t>姜雨晨</t>
  </si>
  <si>
    <t>410311200012272029</t>
  </si>
  <si>
    <t>河南省洛阳市涧西区南昌路十五街坊6栋1门801号</t>
  </si>
  <si>
    <t>4F7-002</t>
  </si>
  <si>
    <t>2020-7-8</t>
  </si>
  <si>
    <t>1233有9448元转至此</t>
  </si>
  <si>
    <t>A1558-2</t>
  </si>
  <si>
    <t>410311200012272028</t>
  </si>
  <si>
    <t>1F6-068</t>
  </si>
  <si>
    <t>9448元转至4135</t>
  </si>
  <si>
    <t>A1559</t>
  </si>
  <si>
    <t>刘立群</t>
  </si>
  <si>
    <t>410526198401015371</t>
  </si>
  <si>
    <t>河南省滑县高平镇刘潭村29号</t>
  </si>
  <si>
    <t>1F8-057</t>
  </si>
  <si>
    <t>A1560</t>
  </si>
  <si>
    <t>董润润</t>
  </si>
  <si>
    <t>412825198501120525</t>
  </si>
  <si>
    <t>河南省郑东新区绿地老街</t>
  </si>
  <si>
    <t>13683888897/18768865288</t>
  </si>
  <si>
    <t>4F3-027</t>
  </si>
  <si>
    <t>约定第四年，2021.5.31开业</t>
  </si>
  <si>
    <t>A1561</t>
  </si>
  <si>
    <t>徐兰英</t>
  </si>
  <si>
    <t>411627196810133348</t>
  </si>
  <si>
    <t>河南省太康县清集乡中庄行政村河南王村37号</t>
  </si>
  <si>
    <t>2FA-034</t>
  </si>
  <si>
    <t>A1562</t>
  </si>
  <si>
    <t>李小红</t>
  </si>
  <si>
    <t>410421197203143522</t>
  </si>
  <si>
    <t>河南省宝丰县大营镇蛮子营村105号</t>
  </si>
  <si>
    <t>1F6-003</t>
  </si>
  <si>
    <t>A1565</t>
  </si>
  <si>
    <t>冯兆伦</t>
  </si>
  <si>
    <t>370923197201181530</t>
  </si>
  <si>
    <t>河南省济源市南街24号</t>
  </si>
  <si>
    <t>1F2-087</t>
  </si>
  <si>
    <t>A1566</t>
  </si>
  <si>
    <t>陈倩</t>
  </si>
  <si>
    <t>522730198905110025</t>
  </si>
  <si>
    <t>河南省新郑市龙湖镇六合路16号院1号楼1单元1005号</t>
  </si>
  <si>
    <t>4F6-035</t>
  </si>
  <si>
    <t>A1569</t>
  </si>
  <si>
    <t>耿国英</t>
  </si>
  <si>
    <t>410103198003167015</t>
  </si>
  <si>
    <t>郑州市金水区黄河路71号院11号楼25号</t>
  </si>
  <si>
    <t>1FA-036</t>
  </si>
  <si>
    <t>A1575</t>
  </si>
  <si>
    <t>232602197502210238</t>
  </si>
  <si>
    <t>黑龙江省北安市东北亚社区第23居民委1组036号</t>
  </si>
  <si>
    <t>1F2-077</t>
  </si>
  <si>
    <t>A1577</t>
  </si>
  <si>
    <t>范五营</t>
  </si>
  <si>
    <t>412728198207173814</t>
  </si>
  <si>
    <t>河南省沈丘县范营乡范庄行政村范庄000号</t>
  </si>
  <si>
    <t>1F7-078</t>
  </si>
  <si>
    <t>A1578</t>
  </si>
  <si>
    <t>谷晨希</t>
  </si>
  <si>
    <t>410105199509120166</t>
  </si>
  <si>
    <t>郑州市金水区纬五路1号胸科医院家属院</t>
  </si>
  <si>
    <t>1F7-013</t>
  </si>
  <si>
    <t>A1579</t>
  </si>
  <si>
    <t>1F7-014</t>
  </si>
  <si>
    <t>A1582</t>
  </si>
  <si>
    <t>克电建</t>
  </si>
  <si>
    <t>412328196810151854</t>
  </si>
  <si>
    <t>河南省永城市新城中原路南段电业小区11号楼1单元301室</t>
  </si>
  <si>
    <t>1F5-042</t>
  </si>
  <si>
    <t>2019-9-14</t>
  </si>
  <si>
    <t>A1583</t>
  </si>
  <si>
    <t>贾飞</t>
  </si>
  <si>
    <t>41010819901021009X</t>
  </si>
  <si>
    <t>郑州市惠济区大河路办事处小胡庄43号付2号</t>
  </si>
  <si>
    <t>3FA-034</t>
  </si>
  <si>
    <t>A1584</t>
  </si>
  <si>
    <t>韩梅</t>
  </si>
  <si>
    <t>410711197205291549</t>
  </si>
  <si>
    <t xml:space="preserve"> 河南省新乡市牧野区风云街44号楼5单元11号</t>
  </si>
  <si>
    <t>1F2-057</t>
  </si>
  <si>
    <t>A1587</t>
  </si>
  <si>
    <t>刘国栋</t>
  </si>
  <si>
    <t>410182199104223311</t>
  </si>
  <si>
    <t>河南省新密市青屏街办事处回春巷3排2号楼110号</t>
  </si>
  <si>
    <t>1F2-095</t>
  </si>
  <si>
    <t>A1589</t>
  </si>
  <si>
    <t>夏雪灵</t>
  </si>
  <si>
    <t>412724198706170663</t>
  </si>
  <si>
    <t>河南省太康县城郊乡塘坊行政村郭庄</t>
  </si>
  <si>
    <t>1F5-093</t>
  </si>
  <si>
    <t>A1590</t>
  </si>
  <si>
    <t>董春春</t>
  </si>
  <si>
    <t>410422198901195427</t>
  </si>
  <si>
    <t>河南省叶县龙泉乡龙泉镇七组</t>
  </si>
  <si>
    <t>1FA-040</t>
  </si>
  <si>
    <t>2018-11-05</t>
  </si>
  <si>
    <t>A1591</t>
  </si>
  <si>
    <t>张安民</t>
  </si>
  <si>
    <t>412721196904230315</t>
  </si>
  <si>
    <t>河南省扶沟县城关镇刘岗西路</t>
  </si>
  <si>
    <t>1FA-042</t>
  </si>
  <si>
    <t>A1592</t>
  </si>
  <si>
    <t>毛静</t>
  </si>
  <si>
    <t>410108198802140064</t>
  </si>
  <si>
    <t>郑州市惠济区新城办事处毛庄村三组南一街155号</t>
  </si>
  <si>
    <t>3F6-065</t>
  </si>
  <si>
    <t>A1594</t>
  </si>
  <si>
    <t xml:space="preserve">何素真
</t>
  </si>
  <si>
    <t>410481195604249026</t>
  </si>
  <si>
    <t>河南省舞钢市垭口温州路新市场4号楼202号</t>
  </si>
  <si>
    <t>1F2-078</t>
  </si>
  <si>
    <t>2020-11-1</t>
  </si>
  <si>
    <t>原1F2-078调至此</t>
  </si>
  <si>
    <t>A1595</t>
  </si>
  <si>
    <t>蔺红晓</t>
  </si>
  <si>
    <t>410423197011242107</t>
  </si>
  <si>
    <t>郑州市金水区郑花路59号院湖适6号楼7201号</t>
  </si>
  <si>
    <t>1F7-028</t>
  </si>
  <si>
    <t>19.5.18付10万</t>
  </si>
  <si>
    <t>A1596</t>
  </si>
  <si>
    <t>陈鑫</t>
  </si>
  <si>
    <t>411327198505220616</t>
  </si>
  <si>
    <t>河南省内乡县马山口镇闫岗村后营北65号</t>
  </si>
  <si>
    <t>3F8-101</t>
  </si>
  <si>
    <t>A1597</t>
  </si>
  <si>
    <t>高云飞</t>
  </si>
  <si>
    <t>411327198410100638</t>
  </si>
  <si>
    <t>郑州市二七区京广南路10号院1号楼1002号</t>
  </si>
  <si>
    <t>3F8-122</t>
  </si>
  <si>
    <t>A1599</t>
  </si>
  <si>
    <t>栗苗</t>
  </si>
  <si>
    <t>41128119920413202X</t>
  </si>
  <si>
    <t>河南省义马市耿村路中心小区3号楼3单元2楼东户</t>
  </si>
  <si>
    <t>3F6-118</t>
  </si>
  <si>
    <t>A1601</t>
  </si>
  <si>
    <t>刘远征</t>
  </si>
  <si>
    <t>41132719891128253X</t>
  </si>
  <si>
    <t>河南省内乡县王店镇刘观村路东组南330号</t>
  </si>
  <si>
    <t>4F1-088</t>
  </si>
  <si>
    <t>A1603</t>
  </si>
  <si>
    <t>马珂</t>
  </si>
  <si>
    <t>410181198911250067</t>
  </si>
  <si>
    <t>河南省巩义市米河镇米南村老板沟54号</t>
  </si>
  <si>
    <t>3F7-027</t>
  </si>
  <si>
    <t>A1606</t>
  </si>
  <si>
    <t>任卫东</t>
  </si>
  <si>
    <t>410381197310216011</t>
  </si>
  <si>
    <t>河南省偃师市高龙镇逯寨村</t>
  </si>
  <si>
    <t>1F6-030</t>
  </si>
  <si>
    <t>A1607</t>
  </si>
  <si>
    <t>商惠子</t>
  </si>
  <si>
    <t>410105199002070163</t>
  </si>
  <si>
    <t>郑州市金水区劳卫路2号院1号楼19号</t>
  </si>
  <si>
    <t>4FA-020</t>
  </si>
  <si>
    <t>范勇慧更名</t>
  </si>
  <si>
    <t>未附证据资料</t>
  </si>
  <si>
    <t>A1608</t>
  </si>
  <si>
    <t>秦睿辇</t>
  </si>
  <si>
    <t>410901199004154588</t>
  </si>
  <si>
    <t>郑州市金水区丰产路107号院</t>
  </si>
  <si>
    <t>4FA-027</t>
  </si>
  <si>
    <t>A1609</t>
  </si>
  <si>
    <t>王留群</t>
  </si>
  <si>
    <t>412826197409266638</t>
  </si>
  <si>
    <t>郑州市金水区博颂路31号院7号楼17号</t>
  </si>
  <si>
    <t>1F7-042</t>
  </si>
  <si>
    <t>19.5.5由1F7-052调房至此</t>
  </si>
  <si>
    <t>A1610</t>
  </si>
  <si>
    <t>王敏</t>
  </si>
  <si>
    <t>412821197108100026</t>
  </si>
  <si>
    <t>郑州市二七区兴华街2号1号院22号</t>
  </si>
  <si>
    <t>3F7-066</t>
  </si>
  <si>
    <t>A1611</t>
  </si>
  <si>
    <t>张文江、宋鸽</t>
  </si>
  <si>
    <t>41062119891105055X</t>
  </si>
  <si>
    <t>河南省浚县黎阳方庄610号</t>
  </si>
  <si>
    <t>3F7-005</t>
  </si>
  <si>
    <t>A1612</t>
  </si>
  <si>
    <t>张红梅</t>
  </si>
  <si>
    <t>412301197511144069</t>
  </si>
  <si>
    <t>郑州市金水区经七路9号院3号楼19号</t>
  </si>
  <si>
    <t>3F8-130</t>
  </si>
  <si>
    <t>2020-10-31</t>
  </si>
  <si>
    <t>A1614</t>
  </si>
  <si>
    <t>徐三中</t>
  </si>
  <si>
    <t>320827197809104411</t>
  </si>
  <si>
    <t>江苏省泗洪县青阳镇洪泽湖路38号</t>
  </si>
  <si>
    <t>3FA-049</t>
  </si>
  <si>
    <t>A1615</t>
  </si>
  <si>
    <t>孙灵灵</t>
  </si>
  <si>
    <t>412702198602065684</t>
  </si>
  <si>
    <t>山西省保德县孙家沟乡桑林村45号</t>
  </si>
  <si>
    <t>3F4-061</t>
  </si>
  <si>
    <t>2020-11-11</t>
  </si>
  <si>
    <t>A1616</t>
  </si>
  <si>
    <t>张松丽</t>
  </si>
  <si>
    <t>410325198002183522</t>
  </si>
  <si>
    <t>郑州市金水区文化路65号附1号院7号楼39号</t>
  </si>
  <si>
    <t>3F4-034</t>
  </si>
  <si>
    <t>A1617</t>
  </si>
  <si>
    <t>完颜宝琴、杨鹏坤</t>
  </si>
  <si>
    <t>412725197802250323、'412725200010150353</t>
  </si>
  <si>
    <t>郑州市管城回族区商城东路10号院17号楼1单元30号</t>
  </si>
  <si>
    <t>1F7-036</t>
  </si>
  <si>
    <t>A1618</t>
  </si>
  <si>
    <t>毛乾坤</t>
  </si>
  <si>
    <t>342221198106151536</t>
  </si>
  <si>
    <t>安徽省宿州市 山县关帝庙镇小毛庄026号</t>
  </si>
  <si>
    <t>3FA-053</t>
  </si>
  <si>
    <t>2018-12-4</t>
  </si>
  <si>
    <t>A1620</t>
  </si>
  <si>
    <t>赵军平</t>
  </si>
  <si>
    <t>41042619740924702X</t>
  </si>
  <si>
    <t>河南省襄城县城关镇西大街16号附35号</t>
  </si>
  <si>
    <t>1F8-115</t>
  </si>
  <si>
    <t>A1621</t>
  </si>
  <si>
    <t>李珊珊</t>
  </si>
  <si>
    <t>522121199108244624</t>
  </si>
  <si>
    <t>工作室遵义县松林镇松林居石塔组</t>
  </si>
  <si>
    <t>18638589908/18703683808</t>
  </si>
  <si>
    <t>3F2-031</t>
  </si>
  <si>
    <t>A1622-1</t>
  </si>
  <si>
    <t>徐媚芳</t>
  </si>
  <si>
    <t>33062419810906534X</t>
  </si>
  <si>
    <t>1F8-168</t>
  </si>
  <si>
    <t>A1622-2</t>
  </si>
  <si>
    <t>1F8-169</t>
  </si>
  <si>
    <t>A1623</t>
  </si>
  <si>
    <t>董群兵</t>
  </si>
  <si>
    <t>41102419760511161X</t>
  </si>
  <si>
    <t>河南省鄢陵县张桥乡董庄村69号</t>
  </si>
  <si>
    <t>13910820946</t>
  </si>
  <si>
    <t>3FB-088</t>
  </si>
  <si>
    <t>收据叠拍，仅显示房款，需补充核实</t>
  </si>
  <si>
    <t>A1624</t>
  </si>
  <si>
    <t>孟彬</t>
  </si>
  <si>
    <t>410102199111010099</t>
  </si>
  <si>
    <t>3F6-015</t>
  </si>
  <si>
    <t>A1625</t>
  </si>
  <si>
    <t>扶新宇</t>
  </si>
  <si>
    <t>411523199212100039</t>
  </si>
  <si>
    <t>1FA-140</t>
  </si>
  <si>
    <t>A1626</t>
  </si>
  <si>
    <t>王继东</t>
  </si>
  <si>
    <t>410126196701173733</t>
  </si>
  <si>
    <t>河南省新密市牛店镇镇直居委会牛店街5号</t>
  </si>
  <si>
    <t>3F2-040</t>
  </si>
  <si>
    <t>郜海兰已退款完</t>
  </si>
  <si>
    <t>A1627</t>
  </si>
  <si>
    <t>杜丽萍</t>
  </si>
  <si>
    <t>410122197909273943</t>
  </si>
  <si>
    <t>河南省中牟县青年西路12号院7号楼25号</t>
  </si>
  <si>
    <t>1F8-154</t>
  </si>
  <si>
    <t>A1628</t>
  </si>
  <si>
    <t>李想</t>
  </si>
  <si>
    <t>411303198708102854</t>
  </si>
  <si>
    <t>河南省南阳市卧龙区蒲山镇姚亮村东赵庄4组6号</t>
  </si>
  <si>
    <t>3F5-119</t>
  </si>
  <si>
    <t>A1629-1</t>
  </si>
  <si>
    <t>马湘粤</t>
  </si>
  <si>
    <t>410381199411039666</t>
  </si>
  <si>
    <t>福建省厦门市同安区凤岗村岗头里270号</t>
  </si>
  <si>
    <t>1F2-101</t>
  </si>
  <si>
    <t>A1629-2</t>
  </si>
  <si>
    <t>郑州市中原区工人路187号院1号楼1单元2005号</t>
  </si>
  <si>
    <t>1F2-102</t>
  </si>
  <si>
    <t>A1630</t>
  </si>
  <si>
    <t>张小萍</t>
  </si>
  <si>
    <t>41140319900315788X</t>
  </si>
  <si>
    <t>河南省商丘市睢阳区宋集镇颜集村张乔庄50号</t>
  </si>
  <si>
    <t>3F6-121</t>
  </si>
  <si>
    <t>A1632</t>
  </si>
  <si>
    <t>周文瑞</t>
  </si>
  <si>
    <t>410183198512100048</t>
  </si>
  <si>
    <t>河南省荥阳市京城办万山路101号3号楼003号</t>
  </si>
  <si>
    <t>3F6-008</t>
  </si>
  <si>
    <t>A1633</t>
  </si>
  <si>
    <t>任凤霞</t>
  </si>
  <si>
    <t>411425197503150667</t>
  </si>
  <si>
    <t>河南省虞城县城郊乡大郭村482号</t>
  </si>
  <si>
    <t>3F6-053</t>
  </si>
  <si>
    <t>A1634</t>
  </si>
  <si>
    <t>徐云静</t>
  </si>
  <si>
    <t>230621198610154263</t>
  </si>
  <si>
    <t>郑州市金水区农业路东47号院2号楼1单元0906号</t>
  </si>
  <si>
    <t>17197679666/18538212977</t>
  </si>
  <si>
    <t>4F9-017</t>
  </si>
  <si>
    <t>A1635</t>
  </si>
  <si>
    <t>王迪</t>
  </si>
  <si>
    <t>410402199302035535</t>
  </si>
  <si>
    <t>河南省平顶山市新华区光明北路32号院1号楼8号</t>
  </si>
  <si>
    <t>1F8-025</t>
  </si>
  <si>
    <t>A1636-1</t>
  </si>
  <si>
    <t>周佳俊</t>
  </si>
  <si>
    <t>411329199512250319</t>
  </si>
  <si>
    <t>郑州市金水区郑花路59号院达观三六九56号楼362单元4号</t>
  </si>
  <si>
    <t>3F5-041</t>
  </si>
  <si>
    <t>A1636-2</t>
  </si>
  <si>
    <t>周春景</t>
  </si>
  <si>
    <t>410403197205140525</t>
  </si>
  <si>
    <t>郑州市金水区郑花路59号院达观55号楼360单元7号</t>
  </si>
  <si>
    <t>3F5-042</t>
  </si>
  <si>
    <t>A1637</t>
  </si>
  <si>
    <t>刘雯钰</t>
  </si>
  <si>
    <t>410185199904130040</t>
  </si>
  <si>
    <t>河南省登封市荥阳办事处颖河路嵩基鸿润城3-1-102</t>
  </si>
  <si>
    <t>3F8-006</t>
  </si>
  <si>
    <t>A1638</t>
  </si>
  <si>
    <t>周港</t>
  </si>
  <si>
    <t>41140319880926521Ｘ</t>
  </si>
  <si>
    <t>郑州市金水区二七路７９号院１号楼１单元５８号</t>
  </si>
  <si>
    <t>3FA-108</t>
  </si>
  <si>
    <t>A1639</t>
  </si>
  <si>
    <t>陈良</t>
  </si>
  <si>
    <t>410183198608310023</t>
  </si>
  <si>
    <t>郑州市金水区岗杜街16号院3号楼95号</t>
  </si>
  <si>
    <t>3F7-062</t>
  </si>
  <si>
    <t>A1643</t>
  </si>
  <si>
    <t>樊会光</t>
  </si>
  <si>
    <t>410126197911176523</t>
  </si>
  <si>
    <t>河南省新密市曲梁乡乡直居委会下牛街2号</t>
  </si>
  <si>
    <t>3F2-013</t>
  </si>
  <si>
    <t>A1644</t>
  </si>
  <si>
    <t>樊亚丽</t>
  </si>
  <si>
    <t>410182198702190762</t>
  </si>
  <si>
    <t>3F7-048</t>
  </si>
  <si>
    <t>A1645</t>
  </si>
  <si>
    <t>王凤莲</t>
  </si>
  <si>
    <t>410111196608130021</t>
  </si>
  <si>
    <t>郑州市金水区顺河路2号院8号楼1号</t>
  </si>
  <si>
    <t>4F1-119</t>
  </si>
  <si>
    <t>A1647</t>
  </si>
  <si>
    <t>马诺琦</t>
  </si>
  <si>
    <t>411628199008101840</t>
  </si>
  <si>
    <t>郑州市中原区须水镇和庄村东街30号付1号</t>
  </si>
  <si>
    <t>3F8-096</t>
  </si>
  <si>
    <t>A1648</t>
  </si>
  <si>
    <t>贾慧芳</t>
  </si>
  <si>
    <t>41010319890913018X</t>
  </si>
  <si>
    <t>郑州市二七区刘楼街52号楼附24号</t>
  </si>
  <si>
    <t>1F7-069</t>
  </si>
  <si>
    <t>A1649</t>
  </si>
  <si>
    <t>侯华丽</t>
  </si>
  <si>
    <t>412826197704051744</t>
  </si>
  <si>
    <t>郑州市管城回族区东大街115号院1号楼2单元32号</t>
  </si>
  <si>
    <t>3F7-056</t>
  </si>
  <si>
    <t>A1650</t>
  </si>
  <si>
    <t>冉瑞勇</t>
  </si>
  <si>
    <t>410122197706302935</t>
  </si>
  <si>
    <t>河南省中牟县城关镇解放北路9号院3号楼11号</t>
  </si>
  <si>
    <t>4F4-076</t>
  </si>
  <si>
    <t>A1651</t>
  </si>
  <si>
    <t>沈红梅</t>
  </si>
  <si>
    <t>130926198605202229</t>
  </si>
  <si>
    <t>3F5-045</t>
  </si>
  <si>
    <t>A1652</t>
  </si>
  <si>
    <t>孙咪咪</t>
  </si>
  <si>
    <t>410324198603100327</t>
  </si>
  <si>
    <t>河南省栾川乡七里坪村十三组39号</t>
  </si>
  <si>
    <t>3F9-037</t>
  </si>
  <si>
    <t>仅附转账记录，比销控表多156元，</t>
  </si>
  <si>
    <t>A1653</t>
  </si>
  <si>
    <t>王涵</t>
  </si>
  <si>
    <t>410101199001082028</t>
  </si>
  <si>
    <t>1F6-074</t>
  </si>
  <si>
    <t>A1654</t>
  </si>
  <si>
    <t>赵嘉杰</t>
  </si>
  <si>
    <t>410184200210020022</t>
  </si>
  <si>
    <t>郑州市中原区颖河路66号院2号楼4单元11号</t>
  </si>
  <si>
    <t>3F4-042</t>
  </si>
  <si>
    <t>A1655</t>
  </si>
  <si>
    <t>宋淑芬</t>
  </si>
  <si>
    <t>410826197402223043</t>
  </si>
  <si>
    <t>河南省孟州市谷旦镇新屯村48号</t>
  </si>
  <si>
    <t>3F5-033</t>
  </si>
  <si>
    <t>A1658</t>
  </si>
  <si>
    <t>靳巍巍</t>
  </si>
  <si>
    <t>410103198201186540</t>
  </si>
  <si>
    <t>郑州市高新技术开发区沟赵乡布袋里村</t>
  </si>
  <si>
    <t>1F7-048</t>
  </si>
  <si>
    <t>A1659</t>
  </si>
  <si>
    <t>严昊</t>
  </si>
  <si>
    <t>640202199904130515</t>
  </si>
  <si>
    <t>1F8-131</t>
  </si>
  <si>
    <t>A1660</t>
  </si>
  <si>
    <t>严馨</t>
  </si>
  <si>
    <t>640202197807200543</t>
  </si>
  <si>
    <t>陕西省渭南市临渭区东风路47号</t>
  </si>
  <si>
    <t>1F8-130</t>
  </si>
  <si>
    <t>A1661</t>
  </si>
  <si>
    <t>袁新巧</t>
  </si>
  <si>
    <t>411322198402022025</t>
  </si>
  <si>
    <t>河南省中牟县白沙镇大陈村293号</t>
  </si>
  <si>
    <t>2FA-012</t>
  </si>
  <si>
    <t>A1662</t>
  </si>
  <si>
    <t>高晓妮</t>
  </si>
  <si>
    <t>411425199210201546</t>
  </si>
  <si>
    <t>河南省虞城县沟镇王楼</t>
  </si>
  <si>
    <t>3F10-039</t>
  </si>
  <si>
    <t>2019-8-8</t>
  </si>
  <si>
    <t>2020-9-10</t>
  </si>
  <si>
    <t>A1666</t>
  </si>
  <si>
    <t>令狐建波</t>
  </si>
  <si>
    <t>411327198209100011</t>
  </si>
  <si>
    <t>1F8-020</t>
  </si>
  <si>
    <t>A1667</t>
  </si>
  <si>
    <t>李明阳、赵一凡</t>
  </si>
  <si>
    <t>410181199009075027</t>
  </si>
  <si>
    <t>郑州市金水区地润路3号4号楼5号</t>
  </si>
  <si>
    <t>4F2-022</t>
  </si>
  <si>
    <t>A1668</t>
  </si>
  <si>
    <t>张晴</t>
  </si>
  <si>
    <t>412823198603105243</t>
  </si>
  <si>
    <t>河南省遂平县花庄乡流水店村流水店02-040号</t>
  </si>
  <si>
    <t>4F6-051</t>
  </si>
  <si>
    <t>A1669</t>
  </si>
  <si>
    <t>赵玉琴</t>
  </si>
  <si>
    <t>410102195610021069</t>
  </si>
  <si>
    <t>3F6-073</t>
  </si>
  <si>
    <t>A1670</t>
  </si>
  <si>
    <t>刘文泉</t>
  </si>
  <si>
    <t>410103199007190137</t>
  </si>
  <si>
    <t>郑州市二七区政通路86号院3号楼2单元1004号</t>
  </si>
  <si>
    <t>3F6-091</t>
  </si>
  <si>
    <t>A1671</t>
  </si>
  <si>
    <t>郑钰琨</t>
  </si>
  <si>
    <t>410105199509270105</t>
  </si>
  <si>
    <t>郑州市金水区翠花路10号5号楼17号</t>
  </si>
  <si>
    <t>3F6-028</t>
  </si>
  <si>
    <t>A1672</t>
  </si>
  <si>
    <t>吉鸿飞、赵莎莎</t>
  </si>
  <si>
    <t>410225198512060076/410225198501160020</t>
  </si>
  <si>
    <t>郑州市二七区南建中街2号楼20号楼</t>
  </si>
  <si>
    <t>15937836568/13849131867</t>
  </si>
  <si>
    <t>4F9-007</t>
  </si>
  <si>
    <t>7.3补款7525</t>
  </si>
  <si>
    <t>A1674</t>
  </si>
  <si>
    <t>李潇潇</t>
  </si>
  <si>
    <t>410105198203208486</t>
  </si>
  <si>
    <t>北京市海淀区莲花苑小区2号楼2门2508号</t>
  </si>
  <si>
    <t>4F3-028</t>
  </si>
  <si>
    <t>A1675</t>
  </si>
  <si>
    <t>刘东兴</t>
  </si>
  <si>
    <t>410124196507082018</t>
  </si>
  <si>
    <t>河南省巩义市大峪沟矿区外门街19号</t>
  </si>
  <si>
    <t>3F9-073</t>
  </si>
  <si>
    <t>未附凭证，待补充资料</t>
  </si>
  <si>
    <t>A1676</t>
  </si>
  <si>
    <t>胡蝶蝶</t>
  </si>
  <si>
    <t>412701199003163061</t>
  </si>
  <si>
    <t>郑州市金水区农科路33号院2号楼1106号</t>
  </si>
  <si>
    <t>3F4-059</t>
  </si>
  <si>
    <t>A1677</t>
  </si>
  <si>
    <t>刘书峰</t>
  </si>
  <si>
    <t>412901198002203507</t>
  </si>
  <si>
    <t>河南省南阳市卧龙区卧龙岗乡百里奚村椿西组</t>
  </si>
  <si>
    <t>3F8-053</t>
  </si>
  <si>
    <t>A1678</t>
  </si>
  <si>
    <t>刘朔</t>
  </si>
  <si>
    <t>411328199510020046</t>
  </si>
  <si>
    <t>郑州市金水区纬一路12号院2号楼35号</t>
  </si>
  <si>
    <t>4F6-005</t>
  </si>
  <si>
    <t>2020-11-9</t>
  </si>
  <si>
    <t>刘朔将34358元加到房款里，无收据，刷卡条不清晰，待核实业务性质</t>
  </si>
  <si>
    <t>A1679</t>
  </si>
  <si>
    <t>李鹏、李萍</t>
  </si>
  <si>
    <t>410103199008290279/41011219680619062X</t>
  </si>
  <si>
    <t>郑州市二七区侯寨乡尖岗村270号</t>
  </si>
  <si>
    <t>18503803451</t>
  </si>
  <si>
    <t>4FA-155</t>
  </si>
  <si>
    <t>A1680</t>
  </si>
  <si>
    <t>郭一志</t>
  </si>
  <si>
    <t>410105198112028420</t>
  </si>
  <si>
    <t>郑州市金水区农科路42号院1号楼1号</t>
  </si>
  <si>
    <t>4F10-003</t>
  </si>
  <si>
    <t>已补充材料</t>
  </si>
  <si>
    <t>A1682</t>
  </si>
  <si>
    <t>于晴</t>
  </si>
  <si>
    <t>412726199103130061</t>
  </si>
  <si>
    <t>郑州市金水区国基路168号院塞纳维斯一区1号楼41号</t>
  </si>
  <si>
    <t>4F5-060</t>
  </si>
  <si>
    <t>2019-11-25</t>
  </si>
  <si>
    <t>A1683</t>
  </si>
  <si>
    <t>张世锋</t>
  </si>
  <si>
    <t>410722196102090829</t>
  </si>
  <si>
    <t>郑州市二七区中原东路78号院18号楼附26号</t>
  </si>
  <si>
    <t>4F3-020</t>
  </si>
  <si>
    <t>A1684</t>
  </si>
  <si>
    <t>丁昱心、赵舒茹</t>
  </si>
  <si>
    <t>410105196902053322\410105199408290123</t>
  </si>
  <si>
    <t>郑州市金水区石桥街5号院5号楼18号</t>
  </si>
  <si>
    <t>3F9-008</t>
  </si>
  <si>
    <t>A1685</t>
  </si>
  <si>
    <t>魏文新</t>
  </si>
  <si>
    <t>412723198301146845</t>
  </si>
  <si>
    <t>河南省漯河市郾城区黄河路703号7号楼4单元302号</t>
  </si>
  <si>
    <t>3F7-030</t>
  </si>
  <si>
    <t>A1686</t>
  </si>
  <si>
    <t>许艳艳</t>
  </si>
  <si>
    <t>411221199003105520</t>
  </si>
  <si>
    <t>河南省渑池县张村镇曹窑矿区078号</t>
  </si>
  <si>
    <t>3F8-014</t>
  </si>
  <si>
    <t>A1687</t>
  </si>
  <si>
    <t>郑明帅</t>
  </si>
  <si>
    <t>410183199202222036</t>
  </si>
  <si>
    <t>河南省荥阳市广武镇张河村郑王庄074号</t>
  </si>
  <si>
    <t>4F6-001</t>
  </si>
  <si>
    <t>仅附收据</t>
  </si>
  <si>
    <t>A1688</t>
  </si>
  <si>
    <t>郝贝贝</t>
  </si>
  <si>
    <t>410381198501056027</t>
  </si>
  <si>
    <t>郑州市管城回族区果园路35号院20号楼1单元1001号</t>
  </si>
  <si>
    <t>3F8-031</t>
  </si>
  <si>
    <t>河北问道49266元，恒祥实业203396元</t>
  </si>
  <si>
    <t>A1689</t>
  </si>
  <si>
    <t>孙玉胜</t>
  </si>
  <si>
    <t>410105196412062779</t>
  </si>
  <si>
    <t>郑州市金水区白庙村2组247号</t>
  </si>
  <si>
    <t>3F9-002</t>
  </si>
  <si>
    <t>A1690</t>
  </si>
  <si>
    <t>张珍珠</t>
  </si>
  <si>
    <t>410403198209035700</t>
  </si>
  <si>
    <t>3F10-004</t>
  </si>
  <si>
    <t>A1691</t>
  </si>
  <si>
    <t>肖艳</t>
  </si>
  <si>
    <t>411322198706240048</t>
  </si>
  <si>
    <t>河南省方城县城关镇文文卫街73号</t>
  </si>
  <si>
    <t>4F4-050</t>
  </si>
  <si>
    <t>附合同，申报的维修基金1771元+其他费用44639元需提供收据</t>
  </si>
  <si>
    <t>A1692</t>
  </si>
  <si>
    <t>王素方</t>
  </si>
  <si>
    <t>410711196603190028</t>
  </si>
  <si>
    <t>郑州市金水区东风路4号院18号楼48号</t>
  </si>
  <si>
    <t>3F7-111</t>
  </si>
  <si>
    <t>A1693-1</t>
  </si>
  <si>
    <t>刘运动</t>
  </si>
  <si>
    <t>412725198009216933</t>
  </si>
  <si>
    <t>郑州市中原区友爱路55号院1号楼11层9号</t>
  </si>
  <si>
    <t>4F2-004</t>
  </si>
  <si>
    <t>A1694</t>
  </si>
  <si>
    <t>冯君华</t>
  </si>
  <si>
    <t>410121197312200024</t>
  </si>
  <si>
    <t>河南省荥阳市京城办大海寺路43号院3排013号</t>
  </si>
  <si>
    <t>3F8-023</t>
  </si>
  <si>
    <t>A1695</t>
  </si>
  <si>
    <t>王利愿</t>
  </si>
  <si>
    <t>411202199311245040</t>
  </si>
  <si>
    <t>郑州市二七区航海中路30号院1号楼12号</t>
  </si>
  <si>
    <t>4F6-002</t>
  </si>
  <si>
    <t>A1696</t>
  </si>
  <si>
    <t>李亚莉</t>
  </si>
  <si>
    <t>410123197102015624</t>
  </si>
  <si>
    <t>郑州市金水区黄河东路91号院1号楼70号</t>
  </si>
  <si>
    <t>3F5-070</t>
  </si>
  <si>
    <t>A1697</t>
  </si>
  <si>
    <t>何金阁</t>
  </si>
  <si>
    <t>410728197202144065</t>
  </si>
  <si>
    <t>河南省长垣县蒲西区蒲西街</t>
  </si>
  <si>
    <t>3F9-029</t>
  </si>
  <si>
    <t>A1698</t>
  </si>
  <si>
    <t>陈卓</t>
  </si>
  <si>
    <t>412823198509258016</t>
  </si>
  <si>
    <t>郑州市高新技术开发区莲花街60号</t>
  </si>
  <si>
    <t>4F4-048</t>
  </si>
  <si>
    <t>A1699</t>
  </si>
  <si>
    <t>花梦想</t>
  </si>
  <si>
    <t>410105200105140246</t>
  </si>
  <si>
    <t>郑州市金水区祭城办事处新村109号</t>
  </si>
  <si>
    <t>3F8-036</t>
  </si>
  <si>
    <t>已补充流水</t>
  </si>
  <si>
    <t>A1700</t>
  </si>
  <si>
    <t>夏立周、韩晶</t>
  </si>
  <si>
    <t>210211198911056511、410303199011050525</t>
  </si>
  <si>
    <t>河南省洛阳市西工区凯旋巷2栋208号</t>
  </si>
  <si>
    <t>3F9-027</t>
  </si>
  <si>
    <t>A1701</t>
  </si>
  <si>
    <t>卢晓风</t>
  </si>
  <si>
    <t>410881196208133546</t>
  </si>
  <si>
    <t>河南省济源市沁园办事处马庄村西大街西北四巷8号</t>
  </si>
  <si>
    <t>3F8-012</t>
  </si>
  <si>
    <t>因疫情暂未提供资料</t>
  </si>
  <si>
    <t>A1702</t>
  </si>
  <si>
    <t>姜园园、郑妍</t>
  </si>
  <si>
    <t>411081198902160161、412728198911180209</t>
  </si>
  <si>
    <t>河南省禹州市省新峰矿务局局直西区家属院</t>
  </si>
  <si>
    <t>18803746819/18803710095</t>
  </si>
  <si>
    <t>3F6-032</t>
  </si>
  <si>
    <t>A1703</t>
  </si>
  <si>
    <t>杜爱香</t>
  </si>
  <si>
    <t>412722197606068744</t>
  </si>
  <si>
    <t>河南省漯河市郾城区松江路468号院1号楼2单元2302号</t>
  </si>
  <si>
    <t>3F9-022</t>
  </si>
  <si>
    <t>2020-12-23</t>
  </si>
  <si>
    <t>A1704</t>
  </si>
  <si>
    <t>惠东玉</t>
  </si>
  <si>
    <t>412928196309150084</t>
  </si>
  <si>
    <t>河南省社旗县赊店镇马神庙街2号附223号</t>
  </si>
  <si>
    <t>3F5-046</t>
  </si>
  <si>
    <t>A1705</t>
  </si>
  <si>
    <t>佟爽</t>
  </si>
  <si>
    <t>210882198607080320</t>
  </si>
  <si>
    <t>郑州市惠济区香山路7号22号楼122号</t>
  </si>
  <si>
    <t>4F6-053</t>
  </si>
  <si>
    <t>A1706</t>
  </si>
  <si>
    <t>孙振辉</t>
  </si>
  <si>
    <t>410185197905150036</t>
  </si>
  <si>
    <t>河南省登封市嵩阳办事处西竹苇街六巷7号</t>
  </si>
  <si>
    <t>4F9-008</t>
  </si>
  <si>
    <t>A1707</t>
  </si>
  <si>
    <t>孟亚辉孟庆海</t>
  </si>
  <si>
    <t>410105195201083815
410108197907180025</t>
  </si>
  <si>
    <t>郑州市金水区文化路82号院5号楼7号</t>
  </si>
  <si>
    <t>15538259502/15538146998</t>
  </si>
  <si>
    <t>4FC-085</t>
  </si>
  <si>
    <t>2018-12-07</t>
  </si>
  <si>
    <t>A1708</t>
  </si>
  <si>
    <t>谢凤英</t>
  </si>
  <si>
    <t>412726197510150028</t>
  </si>
  <si>
    <t>郑州市金水区勤工路8号院6号楼256号</t>
  </si>
  <si>
    <t>4FC-109</t>
  </si>
  <si>
    <t>A1709</t>
  </si>
  <si>
    <t>郭子恺</t>
  </si>
  <si>
    <t>410102199811300118</t>
  </si>
  <si>
    <t>郑州市中原区工人路26号院13号楼19层4号</t>
  </si>
  <si>
    <t>3F8-025</t>
  </si>
  <si>
    <t>A1710</t>
  </si>
  <si>
    <t>白雪琴</t>
  </si>
  <si>
    <t>410182198410022169</t>
  </si>
  <si>
    <t>郑州市金水区丰庆路65号院22号楼10号</t>
  </si>
  <si>
    <t>13949069650/17838755008</t>
  </si>
  <si>
    <t>4F9-042</t>
  </si>
  <si>
    <t>A1711</t>
  </si>
  <si>
    <t>翟卿</t>
  </si>
  <si>
    <t>370181198011254422</t>
  </si>
  <si>
    <t>郑州市金水区文化路95号</t>
  </si>
  <si>
    <t>4F6-004</t>
  </si>
  <si>
    <t>A1712</t>
  </si>
  <si>
    <t>郭慧敏</t>
  </si>
  <si>
    <t>410105198407180083</t>
  </si>
  <si>
    <t>郑州市金水区南阳路46号1号楼92号</t>
  </si>
  <si>
    <t>4FA-133</t>
  </si>
  <si>
    <t>A1713</t>
  </si>
  <si>
    <t>袁波、陈红</t>
  </si>
  <si>
    <t>41010519750909101X、411024197612190029</t>
  </si>
  <si>
    <t>郑州市金水区纬四路1号院2号楼7号</t>
  </si>
  <si>
    <t>4F8-020</t>
  </si>
  <si>
    <t>A1714</t>
  </si>
  <si>
    <t>李光辉</t>
  </si>
  <si>
    <t>410126197504046019</t>
  </si>
  <si>
    <t>河南省新密市新华路办事处五里店村皂角树河西7号</t>
  </si>
  <si>
    <t>3F9-046</t>
  </si>
  <si>
    <t>2020-10-13</t>
  </si>
  <si>
    <t>2020.5.16补款6万，7.29补款3万，10.7补款2万，10.9补款2万</t>
  </si>
  <si>
    <t>A1715</t>
  </si>
  <si>
    <t>李蕊</t>
  </si>
  <si>
    <t>410102198604010041</t>
  </si>
  <si>
    <t>郑州市中原区西站街10号院28号楼24号</t>
  </si>
  <si>
    <t>3F9-033</t>
  </si>
  <si>
    <t>A1716</t>
  </si>
  <si>
    <t>祁天培</t>
  </si>
  <si>
    <t>410223199609160016</t>
  </si>
  <si>
    <t>郑州市金水区福元路3号院3号楼99号</t>
  </si>
  <si>
    <t>3F9-060</t>
  </si>
  <si>
    <t>A1717</t>
  </si>
  <si>
    <t>屈春梅</t>
  </si>
  <si>
    <t>411224197609132128</t>
  </si>
  <si>
    <t>河南省内乡县湍东镇清凉庙村安子沟16号</t>
  </si>
  <si>
    <t>3F7-049</t>
  </si>
  <si>
    <t>A1718</t>
  </si>
  <si>
    <t>石楠</t>
  </si>
  <si>
    <t>410104198306143017</t>
  </si>
  <si>
    <t>郑州市管城回族区弓背街24号6号楼47号</t>
  </si>
  <si>
    <t>3F7-036</t>
  </si>
  <si>
    <t>A1719</t>
  </si>
  <si>
    <t>宋玉辉</t>
  </si>
  <si>
    <t>410322197907154749</t>
  </si>
  <si>
    <t>郑州市二七区政通路66号院2号楼1603号</t>
  </si>
  <si>
    <t>3F9-061</t>
  </si>
  <si>
    <t>A1721</t>
  </si>
  <si>
    <t>王运生</t>
  </si>
  <si>
    <t>610113196510151676</t>
  </si>
  <si>
    <t>郑州市金水区郑花路18号院2号楼14号</t>
  </si>
  <si>
    <t>4F4-018</t>
  </si>
  <si>
    <t>A1722-1</t>
  </si>
  <si>
    <t>郭金磊</t>
  </si>
  <si>
    <t>410102199711260091</t>
  </si>
  <si>
    <t>郑州市高新技术开发区石佛镇兰寨村南街129号</t>
  </si>
  <si>
    <t>4F4-037</t>
  </si>
  <si>
    <t>A1722-2</t>
  </si>
  <si>
    <t>郭帅</t>
  </si>
  <si>
    <t>410105200104100162</t>
  </si>
  <si>
    <t>河南省郑州市金水区纬四路16号院</t>
  </si>
  <si>
    <t>3F9-067</t>
  </si>
  <si>
    <t>A1723</t>
  </si>
  <si>
    <t>张甲良</t>
  </si>
  <si>
    <t>412725197108047819</t>
  </si>
  <si>
    <t>河南省鹿邑县宋河镇张辛行政村蔡园41号</t>
  </si>
  <si>
    <t>3F10-005</t>
  </si>
  <si>
    <t>A1724</t>
  </si>
  <si>
    <t>张萌超</t>
  </si>
  <si>
    <t>410185199404110035</t>
  </si>
  <si>
    <t>河南省登封市嵩阳办事处少林大道西段113号附6号</t>
  </si>
  <si>
    <t>4477</t>
  </si>
  <si>
    <t>4F4-034</t>
  </si>
  <si>
    <t>A1726</t>
  </si>
  <si>
    <t>彭伟
陈艳</t>
  </si>
  <si>
    <t>41293219711129361X
412932197109263243</t>
  </si>
  <si>
    <t>河南省桐柏县城关镇淮源路498号附22号</t>
  </si>
  <si>
    <t>3F1-113</t>
  </si>
  <si>
    <t>A1728</t>
  </si>
  <si>
    <t>陈鸿飞</t>
  </si>
  <si>
    <t>410223197805247013</t>
  </si>
  <si>
    <t>河南省尉氏县洧川镇东街村八组</t>
  </si>
  <si>
    <t>4F8-023</t>
  </si>
  <si>
    <t>A1729-1</t>
  </si>
  <si>
    <t>康莹</t>
  </si>
  <si>
    <t>410105198109290022</t>
  </si>
  <si>
    <t>郑州市金水区张砦街124号</t>
  </si>
  <si>
    <t>3F8-093</t>
  </si>
  <si>
    <t>未申报维修基金和登记费，未附凭证，待补充资料</t>
  </si>
  <si>
    <t>A1729-2</t>
  </si>
  <si>
    <t>郑州市金水区纬三路9号院2号楼9号</t>
  </si>
  <si>
    <t>4F4-068</t>
  </si>
  <si>
    <t>A1729-3</t>
  </si>
  <si>
    <t>1F8-023</t>
  </si>
  <si>
    <t>A1730</t>
  </si>
  <si>
    <t>刘智华</t>
  </si>
  <si>
    <t>410102197510031541</t>
  </si>
  <si>
    <t>郑州市管城回族区商城路28号楼4单元附8号</t>
  </si>
  <si>
    <t>3FB-163</t>
  </si>
  <si>
    <t>2018-12-29</t>
  </si>
  <si>
    <t>A1731</t>
  </si>
  <si>
    <t>卜留勤</t>
  </si>
  <si>
    <t>412728196810200048</t>
  </si>
  <si>
    <t>郑州市金水区文博西路25号院5号楼1611号</t>
  </si>
  <si>
    <t>1F8-167</t>
  </si>
  <si>
    <t>2019-11-24</t>
  </si>
  <si>
    <t>A1732</t>
  </si>
  <si>
    <t>范育良</t>
  </si>
  <si>
    <t>410881199101190771</t>
  </si>
  <si>
    <t>河南省济源市南夫村胜利南街九巷</t>
  </si>
  <si>
    <t>4F6-034</t>
  </si>
  <si>
    <t>A1733</t>
  </si>
  <si>
    <t>郑世超</t>
  </si>
  <si>
    <t>410185198711104538</t>
  </si>
  <si>
    <t>河南省登封市大金店镇新新煤矿2号院0号</t>
  </si>
  <si>
    <t>3F9-057</t>
  </si>
  <si>
    <t>2020-12-9</t>
  </si>
  <si>
    <t>A1734</t>
  </si>
  <si>
    <t>蒋会芳</t>
  </si>
  <si>
    <t>411024198902258524</t>
  </si>
  <si>
    <t>河南省新密市来集镇马武寨村后门54号</t>
  </si>
  <si>
    <t>4F1-095</t>
  </si>
  <si>
    <t>A1735</t>
  </si>
  <si>
    <t>李鹏、吴菲</t>
  </si>
  <si>
    <t>410102198802130159/410184199012270041</t>
  </si>
  <si>
    <t>郑州市中原区文化宫路49号楼2单元4号</t>
  </si>
  <si>
    <t>18503855666/16603877636</t>
  </si>
  <si>
    <t>3F6-029</t>
  </si>
  <si>
    <t>A1737</t>
  </si>
  <si>
    <t>李幸娟</t>
  </si>
  <si>
    <t>410125197802061026</t>
  </si>
  <si>
    <t>河南省登封市卢店镇迎宾大道中段3号院</t>
  </si>
  <si>
    <t>3F7-016</t>
  </si>
  <si>
    <t>A1738</t>
  </si>
  <si>
    <t>李铮</t>
  </si>
  <si>
    <t>410103197811142428</t>
  </si>
  <si>
    <t>郑州市二七区兴华南街5号3号楼</t>
  </si>
  <si>
    <t>3F1-084</t>
  </si>
  <si>
    <t>A1739</t>
  </si>
  <si>
    <t>刘帅豪</t>
  </si>
  <si>
    <t>411081198711090850</t>
  </si>
  <si>
    <t>河南省禹州市神后镇周家门村4号</t>
  </si>
  <si>
    <t>1F8-091</t>
  </si>
  <si>
    <t>A1741</t>
  </si>
  <si>
    <t>王一哲</t>
  </si>
  <si>
    <t>41110219940506005X</t>
  </si>
  <si>
    <t>河南省漯河市郾城区城关镇沙田艺林苑3号楼2单元102室</t>
  </si>
  <si>
    <t>1F2-086</t>
  </si>
  <si>
    <t>A1742</t>
  </si>
  <si>
    <t>余廷</t>
  </si>
  <si>
    <t>411524199005156060</t>
  </si>
  <si>
    <t>河南省商城县余集镇花湾小冲</t>
  </si>
  <si>
    <t>3F9-062</t>
  </si>
  <si>
    <t>A1743</t>
  </si>
  <si>
    <t>宗楠</t>
  </si>
  <si>
    <t>410181198108095029</t>
  </si>
  <si>
    <t>郑州市金水区黄河东路91号院6号楼191号</t>
  </si>
  <si>
    <t>1F7-074</t>
  </si>
  <si>
    <t>恒祥实业15万元，河北问道7万元</t>
  </si>
  <si>
    <t>A1744</t>
  </si>
  <si>
    <t>曹振学</t>
  </si>
  <si>
    <t>410503196910200512</t>
  </si>
  <si>
    <t>河南省濮阳市华龙区胜利西路249号院22号楼2单元12号</t>
  </si>
  <si>
    <t>3F7-064</t>
  </si>
  <si>
    <t>A1745</t>
  </si>
  <si>
    <t>刘冠辰</t>
  </si>
  <si>
    <t>412728198708200032</t>
  </si>
  <si>
    <t>郑州市管城回族区城东南路35号院4号楼1单元2503号</t>
  </si>
  <si>
    <t>1F2-063</t>
  </si>
  <si>
    <t>A1746</t>
  </si>
  <si>
    <t>李芃霏</t>
  </si>
  <si>
    <t>412701199003210526</t>
  </si>
  <si>
    <t>郑州市金水区文苑西路15号</t>
  </si>
  <si>
    <t>4F2-030</t>
  </si>
  <si>
    <t>李芃霏申报房款28万，比销控表多4664元，因疫情暂未附凭证，需补充资料</t>
  </si>
  <si>
    <t>A1747</t>
  </si>
  <si>
    <t>闫天军、刘英</t>
  </si>
  <si>
    <t>412727196901125796、412727196910135865</t>
  </si>
  <si>
    <t>郑州市惠济区三全路21号院8号楼4号</t>
  </si>
  <si>
    <t>4F4-039</t>
  </si>
  <si>
    <t>A1748</t>
  </si>
  <si>
    <t>李寸岭、杨建华</t>
  </si>
  <si>
    <t>41072419730716354X、410711197804010112</t>
  </si>
  <si>
    <t>河南省获嘉县徐营镇杨马庄村2组028号</t>
  </si>
  <si>
    <t>13523032226
13837376245</t>
  </si>
  <si>
    <t>3F8-047</t>
  </si>
  <si>
    <t>A1750</t>
  </si>
  <si>
    <t>王奎</t>
  </si>
  <si>
    <t>411522198902132117</t>
  </si>
  <si>
    <t>西藏堆龙德庆县青藏路20号</t>
  </si>
  <si>
    <t>3F2-065</t>
  </si>
  <si>
    <t>A1751</t>
  </si>
  <si>
    <t>周巧丽</t>
  </si>
  <si>
    <t>41012619740507214X</t>
  </si>
  <si>
    <t>河南省新密市白寨镇油坊庄村周大滩1号</t>
  </si>
  <si>
    <t>3F4-036</t>
  </si>
  <si>
    <t>未填写申报金额，因疫情暂未附凭证，需补充资料</t>
  </si>
  <si>
    <t>A1752</t>
  </si>
  <si>
    <t>薛晓凯</t>
  </si>
  <si>
    <t>411327198801160654</t>
  </si>
  <si>
    <t>郑州市二七区陇海中路106号附1号</t>
  </si>
  <si>
    <t>3F7-050</t>
  </si>
  <si>
    <t>A1753</t>
  </si>
  <si>
    <t>许静</t>
  </si>
  <si>
    <t>410721198508011062</t>
  </si>
  <si>
    <t>河南省新乡县合河乡西元封村423号</t>
  </si>
  <si>
    <t>A1754</t>
  </si>
  <si>
    <t>邢真真</t>
  </si>
  <si>
    <t>410105198509220189</t>
  </si>
  <si>
    <t>郑州市金水区农业路东4号院2号楼4号</t>
  </si>
  <si>
    <t>4F5-050</t>
  </si>
  <si>
    <t>按揭回款16万未申报，待律所联系债权人进一步核实</t>
  </si>
  <si>
    <t>A1755</t>
  </si>
  <si>
    <t>412727198911220745</t>
  </si>
  <si>
    <t>河南省淮阳县安岭镇郭庄13号</t>
  </si>
  <si>
    <t>3F8-033</t>
  </si>
  <si>
    <t>A1756</t>
  </si>
  <si>
    <t>孙华</t>
  </si>
  <si>
    <t>410103197012152590</t>
  </si>
  <si>
    <t>郑州市金水区农业东路35号5号楼40号</t>
  </si>
  <si>
    <t>3F9-023</t>
  </si>
  <si>
    <t>A1757</t>
  </si>
  <si>
    <t>范全民</t>
  </si>
  <si>
    <t>411024197009297753</t>
  </si>
  <si>
    <t>郑州市二七区京广南路51号院4号楼6号</t>
  </si>
  <si>
    <t>3F8-048</t>
  </si>
  <si>
    <t>A1758</t>
  </si>
  <si>
    <t>郑园园</t>
  </si>
  <si>
    <t>410526198908272369</t>
  </si>
  <si>
    <t>3F8-103</t>
  </si>
  <si>
    <t>A1759</t>
  </si>
  <si>
    <t>廖晓丹</t>
  </si>
  <si>
    <t>410102198407130028</t>
  </si>
  <si>
    <t>郑州市中原区电厂路19号院12号楼2单元1801号</t>
  </si>
  <si>
    <t>3854</t>
  </si>
  <si>
    <t>3F9-039</t>
  </si>
  <si>
    <t>A1760</t>
  </si>
  <si>
    <t>梁盟</t>
  </si>
  <si>
    <t>411422198703073630</t>
  </si>
  <si>
    <t>河南省新密市青屏街办事处清屏大街2号院109号</t>
  </si>
  <si>
    <t>3F8-066</t>
  </si>
  <si>
    <t>A1761</t>
  </si>
  <si>
    <t>张睿</t>
  </si>
  <si>
    <t>410105199107140084</t>
  </si>
  <si>
    <t>郑州市陇河中路104号</t>
  </si>
  <si>
    <t>3F8-052</t>
  </si>
  <si>
    <t>2019-7-5</t>
  </si>
  <si>
    <t>A1762</t>
  </si>
  <si>
    <t>张玉哲</t>
  </si>
  <si>
    <t>411328198110231384</t>
  </si>
  <si>
    <t>3F9-009</t>
  </si>
  <si>
    <t>附合同，未附收据等资料，待补充</t>
  </si>
  <si>
    <t>A1763</t>
  </si>
  <si>
    <t>张保兰</t>
  </si>
  <si>
    <t>412722197601065325</t>
  </si>
  <si>
    <t>郑州市金水区红旗路134号院18号楼34号</t>
  </si>
  <si>
    <t>4F5-054</t>
  </si>
  <si>
    <t>A1764</t>
  </si>
  <si>
    <t>刘晨璐</t>
  </si>
  <si>
    <t>410105198203011616</t>
  </si>
  <si>
    <t>郑州市金水区文化路101号院12号楼3号</t>
  </si>
  <si>
    <t>3F8-083</t>
  </si>
  <si>
    <t>A1765</t>
  </si>
  <si>
    <t>王轩</t>
  </si>
  <si>
    <t>410105198311013854</t>
  </si>
  <si>
    <t>郑州市金水区丰乐路26号3号楼8号</t>
  </si>
  <si>
    <t>4F1-091</t>
  </si>
  <si>
    <t>A1766</t>
  </si>
  <si>
    <t>汪惠芳、汪留强</t>
  </si>
  <si>
    <t>410223199204164561</t>
  </si>
  <si>
    <t>郑州市二七区长江中路128号院五期13号楼15号</t>
  </si>
  <si>
    <t>4F8-014</t>
  </si>
  <si>
    <t>A1767</t>
  </si>
  <si>
    <t>白冰冰</t>
  </si>
  <si>
    <t>410182199112272113</t>
  </si>
  <si>
    <t>河南省新密市白寨镇寨沟村石洞沟40号</t>
  </si>
  <si>
    <t>4F5-038</t>
  </si>
  <si>
    <t>A1768</t>
  </si>
  <si>
    <t>杜红兰</t>
  </si>
  <si>
    <t>412701197212163528</t>
  </si>
  <si>
    <t>郑州市管城回族区陇海东路325号院2号楼6号</t>
  </si>
  <si>
    <t>4F5-055</t>
  </si>
  <si>
    <t>A1770</t>
  </si>
  <si>
    <t>娄彦超</t>
  </si>
  <si>
    <t>410725198212191231</t>
  </si>
  <si>
    <t>河南省原阳县官厂乡柳园村487号</t>
  </si>
  <si>
    <t>4F9-040</t>
  </si>
  <si>
    <t>A1771</t>
  </si>
  <si>
    <t>汪艳玲</t>
  </si>
  <si>
    <t>411328198905054000</t>
  </si>
  <si>
    <t>河南省新野县施庵镇前罗村前罗8组</t>
  </si>
  <si>
    <t>3F5-022</t>
  </si>
  <si>
    <t>A1772</t>
  </si>
  <si>
    <t>赵国琴</t>
  </si>
  <si>
    <t>410402196710291526</t>
  </si>
  <si>
    <t>郑州市金水区纬五路14号院1号楼2405号</t>
  </si>
  <si>
    <t>3F5-034</t>
  </si>
  <si>
    <t>A1773</t>
  </si>
  <si>
    <t>张俊玲</t>
  </si>
  <si>
    <t>411081197404223284</t>
  </si>
  <si>
    <t>郑州市中原区电厂路19号院9号楼3单元801号</t>
  </si>
  <si>
    <t>18339994108</t>
  </si>
  <si>
    <t>4FA-088</t>
  </si>
  <si>
    <t>未填写申报金额，未附任何凭证，暂按销控表数据认定，需补充资料</t>
  </si>
  <si>
    <t>A1774</t>
  </si>
  <si>
    <t>陈芳芳</t>
  </si>
  <si>
    <t>410224198109261648</t>
  </si>
  <si>
    <t>河南省开封县城关镇范庄七组</t>
  </si>
  <si>
    <t>3F7-059</t>
  </si>
  <si>
    <t>A1775</t>
  </si>
  <si>
    <t xml:space="preserve">丁伊欣
</t>
  </si>
  <si>
    <t>411023200106023023</t>
  </si>
  <si>
    <t>河南省许昌县小召乡赵庄一组</t>
  </si>
  <si>
    <t>4F5-016</t>
  </si>
  <si>
    <t>A1776</t>
  </si>
  <si>
    <t>万静</t>
  </si>
  <si>
    <t>413021198310180041</t>
  </si>
  <si>
    <t>郑州市金水区郑花路76号院3号楼179号</t>
  </si>
  <si>
    <t>3F5-028</t>
  </si>
  <si>
    <t>A1778</t>
  </si>
  <si>
    <t>孔玲彩</t>
  </si>
  <si>
    <t>411023197703067046</t>
  </si>
  <si>
    <t>河南省许昌县将官池镇县卫校院</t>
  </si>
  <si>
    <t>4F9-019</t>
  </si>
  <si>
    <t>A1779</t>
  </si>
  <si>
    <t>白伟</t>
  </si>
  <si>
    <t>140411198001260022</t>
  </si>
  <si>
    <t>郑州市二七区勤劳街58号</t>
  </si>
  <si>
    <t>3257</t>
  </si>
  <si>
    <t>3F6-064</t>
  </si>
  <si>
    <t>2020-10-6</t>
  </si>
  <si>
    <t>A1780</t>
  </si>
  <si>
    <t>姜明明</t>
  </si>
  <si>
    <t>412824198809204374</t>
  </si>
  <si>
    <t>广东省深圳市宝安区东环二路龙华油松东环二路二号</t>
  </si>
  <si>
    <t>3F5-036</t>
  </si>
  <si>
    <t>A1782</t>
  </si>
  <si>
    <t>周玲、强会利</t>
  </si>
  <si>
    <t>410901196704182746/41090119640306552X</t>
  </si>
  <si>
    <t>河南省濮阳市华龙区中原路5号院</t>
  </si>
  <si>
    <t>19839312081/13603835095/15939397057</t>
  </si>
  <si>
    <t>4F9-012</t>
  </si>
  <si>
    <t>A1783</t>
  </si>
  <si>
    <t>袁宝宝</t>
  </si>
  <si>
    <t>411422199405080335</t>
  </si>
  <si>
    <t>郑州市金水区农业路东12号院3号楼26号</t>
  </si>
  <si>
    <t>4F6-046</t>
  </si>
  <si>
    <t>A1784</t>
  </si>
  <si>
    <t>曲国中</t>
  </si>
  <si>
    <t>370628197903151112</t>
  </si>
  <si>
    <t>河南省沁阳市覃怀办事处八一路11号</t>
  </si>
  <si>
    <t>4F3-023</t>
  </si>
  <si>
    <t>A1785</t>
  </si>
  <si>
    <t>武震</t>
  </si>
  <si>
    <t>410108199102040059</t>
  </si>
  <si>
    <t>郑州市惠济区大河路办事处武庄23号付1号</t>
  </si>
  <si>
    <t>4FA-049</t>
  </si>
  <si>
    <t>A1786</t>
  </si>
  <si>
    <t>徐洪宾</t>
  </si>
  <si>
    <t>411082198112222416</t>
  </si>
  <si>
    <t>郑州市金水区宏祥路28号院11号楼65号</t>
  </si>
  <si>
    <t>4F6-027</t>
  </si>
  <si>
    <t>A1787</t>
  </si>
  <si>
    <t>赵敏</t>
  </si>
  <si>
    <t>410102197907231023</t>
  </si>
  <si>
    <t>郑州市中原区百花路1号附102号</t>
  </si>
  <si>
    <t>4FB-108</t>
  </si>
  <si>
    <t>A1788</t>
  </si>
  <si>
    <t>蔡雯雯</t>
  </si>
  <si>
    <t>410103198709250021</t>
  </si>
  <si>
    <t>郑州市二七区兴华北街12号院6号楼4单元49号</t>
  </si>
  <si>
    <t>4F6-041</t>
  </si>
  <si>
    <t>A1789</t>
  </si>
  <si>
    <t>陈甜甜</t>
  </si>
  <si>
    <t>411403199506140326</t>
  </si>
  <si>
    <t>河南省商丘市睢阳区西马道南三街16号附1号</t>
  </si>
  <si>
    <t>3F5-086</t>
  </si>
  <si>
    <t>2020-11-8</t>
  </si>
  <si>
    <t>没有附凭证，待补充资料</t>
  </si>
  <si>
    <t>A1790</t>
  </si>
  <si>
    <t>耿利鹏</t>
  </si>
  <si>
    <t>410103199006050132</t>
  </si>
  <si>
    <t>郑州市二七区侯寨乡侯寨村204号附2号</t>
  </si>
  <si>
    <t>3F8-102</t>
  </si>
  <si>
    <t>附民事判决书，判决：商铺租金收益53890.32元，违约金926元，诉讼费595元（在地下商铺租赁中申报）；耿利鹏申报总金额只填了房款489912元，没有申报维修基金和产权登记费</t>
  </si>
  <si>
    <t>A1791</t>
  </si>
  <si>
    <t>谷永娟</t>
  </si>
  <si>
    <t>411425198402155746</t>
  </si>
  <si>
    <t>河南省虞城县王集乡翁庄村</t>
  </si>
  <si>
    <t>4F2-006</t>
  </si>
  <si>
    <t>A1792</t>
  </si>
  <si>
    <t>梁瑞、田卫丽</t>
  </si>
  <si>
    <t>410102198205242021、410526198303043002</t>
  </si>
  <si>
    <t>郑州市管城回族区豫丰街1号22号楼1单元44号</t>
  </si>
  <si>
    <t>13523413239、15515515161</t>
  </si>
  <si>
    <t>3F5-009</t>
  </si>
  <si>
    <t>A1793</t>
  </si>
  <si>
    <t>姜洪龙</t>
  </si>
  <si>
    <t>230828198504055312</t>
  </si>
  <si>
    <t>辽宁省营口市站前区光华路南34甲号3-11-74</t>
  </si>
  <si>
    <t>3F9-070</t>
  </si>
  <si>
    <t>A1794</t>
  </si>
  <si>
    <t>王茂森、牛淮田</t>
  </si>
  <si>
    <t>413001196602063862/410105200107020010</t>
  </si>
  <si>
    <t>郑州市金水区经五路16号院3号楼13号</t>
  </si>
  <si>
    <t>3F8-044</t>
  </si>
  <si>
    <t>A1795</t>
  </si>
  <si>
    <t>叶燕云</t>
  </si>
  <si>
    <t>411303199806146740</t>
  </si>
  <si>
    <t>郑州市金水区经八路12号院1号楼19号</t>
  </si>
  <si>
    <t>4F5-058</t>
  </si>
  <si>
    <t>附合同（拍照不完整），没有其他凭证，待补充资料</t>
  </si>
  <si>
    <t>A1796</t>
  </si>
  <si>
    <t>余自海</t>
  </si>
  <si>
    <t>413025197201173652</t>
  </si>
  <si>
    <t>河南省光山县南向店乡长冲村方店二组</t>
  </si>
  <si>
    <t>4F8-016</t>
  </si>
  <si>
    <t>A1797-1</t>
  </si>
  <si>
    <t>朱林</t>
  </si>
  <si>
    <t>410102197705152511</t>
  </si>
  <si>
    <t>郑州市金水区经一路10号院1号楼27号</t>
  </si>
  <si>
    <t>4F4-041</t>
  </si>
  <si>
    <t>2020-5-17</t>
  </si>
  <si>
    <t>A1797-2</t>
  </si>
  <si>
    <t>4F4-042</t>
  </si>
  <si>
    <t>附合同，没有其他凭证，已补充收据</t>
  </si>
  <si>
    <t>A1798</t>
  </si>
  <si>
    <t>魏中营</t>
  </si>
  <si>
    <t>412325198312130313</t>
  </si>
  <si>
    <t>河南省睢县长岗镇魏庄村30号</t>
  </si>
  <si>
    <t>3F8-066A</t>
  </si>
  <si>
    <t>按揭回款24万未申报，待律所联系债权人进一步核实</t>
  </si>
  <si>
    <t>A1799</t>
  </si>
  <si>
    <t>孟子流</t>
  </si>
  <si>
    <t>410222199207071559</t>
  </si>
  <si>
    <t>3F8-057</t>
  </si>
  <si>
    <t>A1800</t>
  </si>
  <si>
    <t>付云华/李美歌</t>
  </si>
  <si>
    <t>410802196402182020/410802199409050024</t>
  </si>
  <si>
    <t>郑州市金水区文化路58号</t>
  </si>
  <si>
    <t>4F8-021</t>
  </si>
  <si>
    <t>2021-2-28</t>
  </si>
  <si>
    <t>申报的其他费用中13845元没有说明是何费用</t>
  </si>
  <si>
    <t>A1801</t>
  </si>
  <si>
    <t>高瑞欣</t>
  </si>
  <si>
    <t>410725198706222421</t>
  </si>
  <si>
    <t>4F6-052</t>
  </si>
  <si>
    <t>申报人只填写全款二字，没有附任何凭证</t>
  </si>
  <si>
    <t>A1802</t>
  </si>
  <si>
    <t>贾森</t>
  </si>
  <si>
    <t>410222198703100019</t>
  </si>
  <si>
    <t>河南省通许县城关镇南环路东段</t>
  </si>
  <si>
    <t>4F5-033</t>
  </si>
  <si>
    <t>A1803</t>
  </si>
  <si>
    <t>李飞</t>
  </si>
  <si>
    <t>410105198409170153</t>
  </si>
  <si>
    <t>郑州市金水区南阳路41号4号楼27号</t>
  </si>
  <si>
    <t>4F9-036</t>
  </si>
  <si>
    <t>没有填写申报金额，没有附任何凭证</t>
  </si>
  <si>
    <t>A1804</t>
  </si>
  <si>
    <t>武广华</t>
  </si>
  <si>
    <t>412728196807242511</t>
  </si>
  <si>
    <t>河南省沈丘县纸店镇赵腰庄行政村赵腰庄555号</t>
  </si>
  <si>
    <t>1F8-122</t>
  </si>
  <si>
    <t>A1805</t>
  </si>
  <si>
    <t>武晓芳</t>
  </si>
  <si>
    <t>41272819950106252X</t>
  </si>
  <si>
    <t>3F5-020</t>
  </si>
  <si>
    <t>A1807</t>
  </si>
  <si>
    <t>王永起</t>
  </si>
  <si>
    <t>41272619870619043X</t>
  </si>
  <si>
    <t>河南省郸城县城郊乡孔庄行政村王庄村001号</t>
  </si>
  <si>
    <t>4F2-023</t>
  </si>
  <si>
    <t>A1809</t>
  </si>
  <si>
    <t>马建伟</t>
  </si>
  <si>
    <t>410122197412092936</t>
  </si>
  <si>
    <t>河南省中牟县三官庙乡人民路02号</t>
  </si>
  <si>
    <t>3F7-002</t>
  </si>
  <si>
    <t>A1810</t>
  </si>
  <si>
    <t>张萌原</t>
  </si>
  <si>
    <t>341221199101299017</t>
  </si>
  <si>
    <t>郑州市中原区棉纺西路4号院11号楼2单元2104号</t>
  </si>
  <si>
    <t>3F5-006</t>
  </si>
  <si>
    <t>没有申报按揭回款34万，待律所联系债权人进一步核实</t>
  </si>
  <si>
    <t>A1811</t>
  </si>
  <si>
    <t>熊申伟</t>
  </si>
  <si>
    <t>411403198709266653</t>
  </si>
  <si>
    <t>河南省商丘市睢阳区娄店乡常庄村贾庄58号</t>
  </si>
  <si>
    <t>3F5-083</t>
  </si>
  <si>
    <t>A1812</t>
  </si>
  <si>
    <t>王世云</t>
  </si>
  <si>
    <t>412323198011020062</t>
  </si>
  <si>
    <t>河南省城关镇公园北路</t>
  </si>
  <si>
    <t>18838273348/15503843088</t>
  </si>
  <si>
    <t>3F6-110</t>
  </si>
  <si>
    <t>申报27.5万，没有附凭证，待补充资料</t>
  </si>
  <si>
    <t>A1813</t>
  </si>
  <si>
    <t>陈龙</t>
  </si>
  <si>
    <t>131127200002203859</t>
  </si>
  <si>
    <t>河北省衡水市桃城区康宁街康居路89号康居嘉园5栋3单元201室</t>
  </si>
  <si>
    <t>3F5-089</t>
  </si>
  <si>
    <t>附61.89万收据和恒祥开具的确认函，无其他凭证</t>
  </si>
  <si>
    <t>A1814</t>
  </si>
  <si>
    <t>杜海霞</t>
  </si>
  <si>
    <t>410822197211043562</t>
  </si>
  <si>
    <t>郑州市金水区花园北路59号院13号楼7号</t>
  </si>
  <si>
    <t>3F4-009</t>
  </si>
  <si>
    <t>A1815</t>
  </si>
  <si>
    <t>刘莹、杨川川</t>
  </si>
  <si>
    <t>410102199204290069/41140219880620735X</t>
  </si>
  <si>
    <t>郑州市中原区前进路20号楼附10号</t>
  </si>
  <si>
    <t>15938766723/15036057720</t>
  </si>
  <si>
    <t>4F5-041</t>
  </si>
  <si>
    <t>A1817</t>
  </si>
  <si>
    <t>王振威</t>
  </si>
  <si>
    <t>410184199104280095</t>
  </si>
  <si>
    <t>郑州市二七区长江中路108号院31号楼28号</t>
  </si>
  <si>
    <t>3F5-017</t>
  </si>
  <si>
    <t>2019-7-8</t>
  </si>
  <si>
    <t>没有填写申报金额，没有附凭证，待补充资料</t>
  </si>
  <si>
    <t>A1818</t>
  </si>
  <si>
    <t>郭迅涛</t>
  </si>
  <si>
    <t>41032119731267832</t>
  </si>
  <si>
    <t>河南省偃师市岳滩镇职高院</t>
  </si>
  <si>
    <t>3F5-005</t>
  </si>
  <si>
    <t>河北问道25994元</t>
  </si>
  <si>
    <t>A1820</t>
  </si>
  <si>
    <t>张勤兰</t>
  </si>
  <si>
    <t>412723197304266433</t>
  </si>
  <si>
    <t>河南省商水县胡吉镇王庄村一组</t>
  </si>
  <si>
    <t>444</t>
  </si>
  <si>
    <t>4F6-033</t>
  </si>
  <si>
    <t>2020-9-24</t>
  </si>
  <si>
    <t>张勤兰共申报房款354102元，需核实收据是否经过更新，重复提供</t>
  </si>
  <si>
    <t>A1821</t>
  </si>
  <si>
    <t>杨曼</t>
  </si>
  <si>
    <t>410725199507162424</t>
  </si>
  <si>
    <t>郑州市管城回族区东明路南58号院7号楼25号</t>
  </si>
  <si>
    <t>3F7-031</t>
  </si>
  <si>
    <t>A1822</t>
  </si>
  <si>
    <t>唐国栋</t>
  </si>
  <si>
    <t>410901197412290088</t>
  </si>
  <si>
    <t>河南省濮阳市华龙区振兴路1号院4号楼3单元1号</t>
  </si>
  <si>
    <t>1F2-083</t>
  </si>
  <si>
    <t>A1823</t>
  </si>
  <si>
    <t>陈俊锋</t>
  </si>
  <si>
    <t>410185197206022123</t>
  </si>
  <si>
    <t>河南省登封市大治镇东刘碑村北街210号</t>
  </si>
  <si>
    <t>4F5-034</t>
  </si>
  <si>
    <t>A1824</t>
  </si>
  <si>
    <t>任小琴</t>
  </si>
  <si>
    <t>411323198104025021</t>
  </si>
  <si>
    <t>河南省辉县市常村镇侯家坡村29号</t>
  </si>
  <si>
    <t>3F7-025</t>
  </si>
  <si>
    <t>未填写申报金额，未附凭证，需补充资料</t>
  </si>
  <si>
    <t>A1825</t>
  </si>
  <si>
    <t>杨俊</t>
  </si>
  <si>
    <t>412726195504108481</t>
  </si>
  <si>
    <t>郑州市金水区农业路22号院9号楼2004号</t>
  </si>
  <si>
    <t>1537</t>
  </si>
  <si>
    <t>1F2-079</t>
  </si>
  <si>
    <t>附收据和调房申请单，没有其他资料</t>
  </si>
  <si>
    <t>A1826</t>
  </si>
  <si>
    <t>郭东许</t>
  </si>
  <si>
    <t>410426199110281054</t>
  </si>
  <si>
    <t>郑州市二七区莲运路128号院8号楼73号</t>
  </si>
  <si>
    <t>2FA-097</t>
  </si>
  <si>
    <t>A1827</t>
  </si>
  <si>
    <t>胡倩倩</t>
  </si>
  <si>
    <t>411502198601100562</t>
  </si>
  <si>
    <t>郑州市金水区金水路76号院3号楼8502号</t>
  </si>
  <si>
    <t>3F2-018</t>
  </si>
  <si>
    <t>A1828</t>
  </si>
  <si>
    <t>洪志国</t>
  </si>
  <si>
    <t>412328196411061819</t>
  </si>
  <si>
    <t>郑州市金水区永平路19号院11号楼25号</t>
  </si>
  <si>
    <t>1F2-107</t>
  </si>
  <si>
    <t>A1829</t>
  </si>
  <si>
    <t>毛沛</t>
  </si>
  <si>
    <t>410901199302164039</t>
  </si>
  <si>
    <t>河南省濮阳市华龙区金堤路26哈院2号楼4单元10号</t>
  </si>
  <si>
    <t>18639360216、15603936612</t>
  </si>
  <si>
    <t>3F8-059</t>
  </si>
  <si>
    <t>A1830</t>
  </si>
  <si>
    <t>姚燕</t>
  </si>
  <si>
    <t>412328197609201818</t>
  </si>
  <si>
    <t>天津市武清区南蔡村镇翠亨路翡翠半岛馨园28号楼1门1305号</t>
  </si>
  <si>
    <t>3F1-114</t>
  </si>
  <si>
    <t>2020-9-22</t>
  </si>
  <si>
    <t>A1831</t>
  </si>
  <si>
    <t>张秀珍</t>
  </si>
  <si>
    <t>342901197000085846</t>
  </si>
  <si>
    <t>郑州市管城回族区果园路35号院20号楼1单元0803号</t>
  </si>
  <si>
    <t>2FA-094</t>
  </si>
  <si>
    <t>A1832</t>
  </si>
  <si>
    <t>苏继蕊</t>
  </si>
  <si>
    <t>410181197909296547</t>
  </si>
  <si>
    <t>4F5-015</t>
  </si>
  <si>
    <t>2019-11-16</t>
  </si>
  <si>
    <t>A1833</t>
  </si>
  <si>
    <t>于延雄</t>
  </si>
  <si>
    <t>320922199001083972</t>
  </si>
  <si>
    <t>江苏省滨海县天场镇岭山村七组54号</t>
  </si>
  <si>
    <t>1F7-084</t>
  </si>
  <si>
    <t>2019.5.6已补100000</t>
  </si>
  <si>
    <t>A1834</t>
  </si>
  <si>
    <t>张勤云</t>
  </si>
  <si>
    <t>410521198510280105</t>
  </si>
  <si>
    <t>3F4-058</t>
  </si>
  <si>
    <t>A1835</t>
  </si>
  <si>
    <t>高红印</t>
  </si>
  <si>
    <t>412824197203201019</t>
  </si>
  <si>
    <t>河南省西平县吕店乡刘楼村委六组</t>
  </si>
  <si>
    <t>3F6-062</t>
  </si>
  <si>
    <t>A1836</t>
  </si>
  <si>
    <t>411002197708111518</t>
  </si>
  <si>
    <t>河南省许昌市魏都区五一路156号1号楼2单元10号</t>
  </si>
  <si>
    <t>1F8-005</t>
  </si>
  <si>
    <t>总房款优惠2361</t>
  </si>
  <si>
    <t>A1837</t>
  </si>
  <si>
    <t>陈冬莉</t>
  </si>
  <si>
    <t>410102197910293022</t>
  </si>
  <si>
    <t>广东省佛山市禅城区秀湖路9号1005房</t>
  </si>
  <si>
    <t>19925284519/13503852965、13902910626</t>
  </si>
  <si>
    <t>1F7-093</t>
  </si>
  <si>
    <t>2020-12-31</t>
  </si>
  <si>
    <t>齐俊泽已退款完</t>
  </si>
  <si>
    <t>A1838</t>
  </si>
  <si>
    <t>李德杰</t>
  </si>
  <si>
    <t>410403197206042521</t>
  </si>
  <si>
    <t>郑州市二七区合作路1号院6号楼2单元45号</t>
  </si>
  <si>
    <t>1F6-007</t>
  </si>
  <si>
    <t>2019-9-27</t>
  </si>
  <si>
    <t>A1840</t>
  </si>
  <si>
    <t>段晶晶</t>
  </si>
  <si>
    <t>41020419930402302X</t>
  </si>
  <si>
    <t>河南省开封市鼓楼区复兴南街30号附4号</t>
  </si>
  <si>
    <t>3F4-060</t>
  </si>
  <si>
    <t>朱笛已退完</t>
  </si>
  <si>
    <t>A1842</t>
  </si>
  <si>
    <t>陈新红</t>
  </si>
  <si>
    <t>410722196007150846</t>
  </si>
  <si>
    <t>郑州市金水区通泰路42号院7号楼18号</t>
  </si>
  <si>
    <t>13461522190</t>
  </si>
  <si>
    <t>3FB-149</t>
  </si>
  <si>
    <t>A1843</t>
  </si>
  <si>
    <t>郜石磊、范培培</t>
  </si>
  <si>
    <t>411123198412306019、411122198701131546</t>
  </si>
  <si>
    <t>河南省漯河市召陵区召陵镇召陵村10组28号</t>
  </si>
  <si>
    <t>1F7-095</t>
  </si>
  <si>
    <t>A1844</t>
  </si>
  <si>
    <t>焦博</t>
  </si>
  <si>
    <t>410704198912081015</t>
  </si>
  <si>
    <t>河南省新乡市凤泉区区府路166号第一小区52号楼4单元6号</t>
  </si>
  <si>
    <t>4F2-031</t>
  </si>
  <si>
    <t>A1845</t>
  </si>
  <si>
    <t>刘志力</t>
  </si>
  <si>
    <t>410108197511110514</t>
  </si>
  <si>
    <t>郑州市惠济区同乐小区109号楼120号</t>
  </si>
  <si>
    <t>3F2-012</t>
  </si>
  <si>
    <t>A1846</t>
  </si>
  <si>
    <t>刘世省</t>
  </si>
  <si>
    <t>412323198303020048</t>
  </si>
  <si>
    <t>湖北省谷城县城关镇三里桥街社区八组</t>
  </si>
  <si>
    <t>15971069105</t>
  </si>
  <si>
    <t>4FA-122</t>
  </si>
  <si>
    <t>A1847</t>
  </si>
  <si>
    <t>盛东峰</t>
  </si>
  <si>
    <t>411022196310040730</t>
  </si>
  <si>
    <t>河南省长葛市坡胡镇盛寨村二组</t>
  </si>
  <si>
    <t>4F3-006</t>
  </si>
  <si>
    <t>A1848-1</t>
  </si>
  <si>
    <t>赵普霞</t>
  </si>
  <si>
    <t>410221197108057123</t>
  </si>
  <si>
    <t>河南省杞县城关南环路78号</t>
  </si>
  <si>
    <t>3F8-100</t>
  </si>
  <si>
    <t>A1848-2</t>
  </si>
  <si>
    <t>1F8-095</t>
  </si>
  <si>
    <t>A1849</t>
  </si>
  <si>
    <t>赵艳霞</t>
  </si>
  <si>
    <t>410527197806062426</t>
  </si>
  <si>
    <t>郑州市二七区嵩山路办事处贾砦村北一街22号附1号</t>
  </si>
  <si>
    <t>3F7-009</t>
  </si>
  <si>
    <t>A1850-1</t>
  </si>
  <si>
    <t>丁佳文</t>
  </si>
  <si>
    <t>410883198605051538</t>
  </si>
  <si>
    <t>河南省孟州市南庄镇桑坡村向阳大街69号</t>
  </si>
  <si>
    <t>A1850-2</t>
  </si>
  <si>
    <t>1F2-064</t>
  </si>
  <si>
    <t>A1851</t>
  </si>
  <si>
    <t>郭秋霞、郭起源</t>
  </si>
  <si>
    <t>411002197810071022、411082200610076693</t>
  </si>
  <si>
    <t>河南省长葛市长社办八七路锦绣江南竹5栋2502室</t>
  </si>
  <si>
    <t>4F9-015</t>
  </si>
  <si>
    <t>A1852</t>
  </si>
  <si>
    <t>冯先超</t>
  </si>
  <si>
    <t>412324198107220516</t>
  </si>
  <si>
    <t>河南省宁陵县柳河镇东街村40号</t>
  </si>
  <si>
    <t>1F2-067</t>
  </si>
  <si>
    <t>A1854</t>
  </si>
  <si>
    <t>付进霞</t>
  </si>
  <si>
    <t>410421196504230529</t>
  </si>
  <si>
    <t>河南省宝丰县杨庄镇为民路30号院2号楼1单元202号</t>
  </si>
  <si>
    <t>1FA-045</t>
  </si>
  <si>
    <t>A1855</t>
  </si>
  <si>
    <t>徐俊霞</t>
  </si>
  <si>
    <t>412726199002086807</t>
  </si>
  <si>
    <t>河南省郸城县巴集乡屯民行政村方庄001号</t>
  </si>
  <si>
    <t>3F4-006</t>
  </si>
  <si>
    <t>A1856</t>
  </si>
  <si>
    <t>李圣洁</t>
  </si>
  <si>
    <t>410423197602142511</t>
  </si>
  <si>
    <t>河南省鲁山县马楼乡董庄村小马庄组185</t>
  </si>
  <si>
    <t>3F4-040</t>
  </si>
  <si>
    <t>申报房屋差价款21995元，维修基金1297.4元，产权登记费550元，台账中无此记录，未提供相应流水或者收据</t>
  </si>
  <si>
    <t>A1857</t>
  </si>
  <si>
    <t>刘凡</t>
  </si>
  <si>
    <t>411302199110113469</t>
  </si>
  <si>
    <t>河南省南阳市宛城区瓦店镇李璜村前刘庄4组24号</t>
  </si>
  <si>
    <t>3F8-008</t>
  </si>
  <si>
    <t>账面登记为刘范，未填写申报金额，未附凭证，没有身份证复印件，无法确认身份，需补充资料</t>
  </si>
  <si>
    <t>A1858</t>
  </si>
  <si>
    <t>薛凡强、李丽</t>
  </si>
  <si>
    <t>410781198704192039、410781198704062023</t>
  </si>
  <si>
    <t>河南省卫辉市唐庄镇六庄店村335号</t>
  </si>
  <si>
    <t>15090077114、13613732833</t>
  </si>
  <si>
    <t>3F2-053</t>
  </si>
  <si>
    <t>A1859</t>
  </si>
  <si>
    <t>郜电荣、张小风</t>
  </si>
  <si>
    <t>410882198205112569、410882198208093017</t>
  </si>
  <si>
    <t>河南省泌阳市山王庄镇闫斜村8号</t>
  </si>
  <si>
    <t>13782788158、13849521154</t>
  </si>
  <si>
    <t>4F6-048</t>
  </si>
  <si>
    <t>2019-9-9</t>
  </si>
  <si>
    <t>原徐容 9.9申请退房款</t>
  </si>
  <si>
    <t>A1861</t>
  </si>
  <si>
    <t>裴定军</t>
  </si>
  <si>
    <t>410182198505266510</t>
  </si>
  <si>
    <t>河南省新密市来集镇杨家门村红石堰8号</t>
  </si>
  <si>
    <t>3F9-069</t>
  </si>
  <si>
    <t>从B1-15-076转入定金2万</t>
  </si>
  <si>
    <t>A1862</t>
  </si>
  <si>
    <t>王连英、丰五生</t>
  </si>
  <si>
    <t>410781196309191627、410781196304021637</t>
  </si>
  <si>
    <t>河南省卫辉市城郊乡纸坊村3队</t>
  </si>
  <si>
    <t>15250416836/13525038329</t>
  </si>
  <si>
    <t>1F8-123</t>
  </si>
  <si>
    <t>A1863</t>
  </si>
  <si>
    <t>陈硕、段争</t>
  </si>
  <si>
    <t>411081199003169052/411081199201287666</t>
  </si>
  <si>
    <t>河南省禹州市书院后街5组</t>
  </si>
  <si>
    <t>18637412007/13613742233</t>
  </si>
  <si>
    <t>3F5-090</t>
  </si>
  <si>
    <t>A1865</t>
  </si>
  <si>
    <t>张秀杰</t>
  </si>
  <si>
    <t>230229197408032523</t>
  </si>
  <si>
    <t>1F7-085</t>
  </si>
  <si>
    <t>A1867</t>
  </si>
  <si>
    <t>郭加南</t>
  </si>
  <si>
    <t>410303199403173719</t>
  </si>
  <si>
    <t>郑州市二七区建设东路50号</t>
  </si>
  <si>
    <t>4F5-024</t>
  </si>
  <si>
    <t>2020-8-5</t>
  </si>
  <si>
    <t>A1869</t>
  </si>
  <si>
    <t>刘清坡</t>
  </si>
  <si>
    <t>410102199003230115</t>
  </si>
  <si>
    <t>郑州市高新技术开发区沟赵乡布袋里村71号</t>
  </si>
  <si>
    <t>2FA-135</t>
  </si>
  <si>
    <t>A1870</t>
  </si>
  <si>
    <t>刘艳丽</t>
  </si>
  <si>
    <t>41010219830425700X</t>
  </si>
  <si>
    <t>2FA-136</t>
  </si>
  <si>
    <t>刘清波更名刘艳丽（姐弟更名）</t>
  </si>
  <si>
    <t>A1872</t>
  </si>
  <si>
    <t>41272719620726506X</t>
  </si>
  <si>
    <t>河南省淮阳县朱集乡大村庄037号</t>
  </si>
  <si>
    <t>3F10-023</t>
  </si>
  <si>
    <t>2020-1-1</t>
  </si>
  <si>
    <t>因疫情暂未附凭证</t>
  </si>
  <si>
    <t>A1874</t>
  </si>
  <si>
    <t>王彬</t>
  </si>
  <si>
    <t>412701198902011032</t>
  </si>
  <si>
    <t>河南省周口市川汇区蔬菜乡闫庄村六组白庄5号</t>
  </si>
  <si>
    <t>13939451050、17719899829</t>
  </si>
  <si>
    <t>1F2-096</t>
  </si>
  <si>
    <t>债权申报填写金额为449847元，维修基金和登记费加了两遍</t>
  </si>
  <si>
    <t>A1875</t>
  </si>
  <si>
    <t>司建华</t>
  </si>
  <si>
    <t>411002196305132061</t>
  </si>
  <si>
    <t>郑州市二七区棉纺东路</t>
  </si>
  <si>
    <t>1F8-059</t>
  </si>
  <si>
    <t>A1877</t>
  </si>
  <si>
    <t>李翔</t>
  </si>
  <si>
    <t>410105197510231032</t>
  </si>
  <si>
    <t>郑州市金水区花园路83号院2号楼26号</t>
  </si>
  <si>
    <t>3F1-101</t>
  </si>
  <si>
    <t>A1879</t>
  </si>
  <si>
    <t>杨炳海、刘莉</t>
  </si>
  <si>
    <t>413021197711092910、410105197609193347</t>
  </si>
  <si>
    <t>郑州市二七区一道街51号附216号</t>
  </si>
  <si>
    <t>4F4-036</t>
  </si>
  <si>
    <t>A1880</t>
  </si>
  <si>
    <t>常青</t>
  </si>
  <si>
    <t>41010519641127442X</t>
  </si>
  <si>
    <t>郑州市金水区商务内环路13号楼2单元2101号</t>
  </si>
  <si>
    <t>2FA-018</t>
  </si>
  <si>
    <t>A1881</t>
  </si>
  <si>
    <t>姚晓伟</t>
  </si>
  <si>
    <t>41042619720929063X</t>
  </si>
  <si>
    <t>郑州市中原区须水镇镇南仗村东街7号</t>
  </si>
  <si>
    <t>3FA-033</t>
  </si>
  <si>
    <t>A1882-1</t>
  </si>
  <si>
    <t>杨军峰</t>
  </si>
  <si>
    <t>412328197303250115</t>
  </si>
  <si>
    <t>河南省永城市新城计生路
中段计生散居片5栋1单元</t>
  </si>
  <si>
    <t>4F6-043</t>
  </si>
  <si>
    <t>A1882-2</t>
  </si>
  <si>
    <t>4F6-042</t>
  </si>
  <si>
    <t>A1883-1</t>
  </si>
  <si>
    <t>王一博</t>
  </si>
  <si>
    <t>652325199604223211</t>
  </si>
  <si>
    <t>郑州市金水区农业路东27号院1号楼34号</t>
  </si>
  <si>
    <t>4F6-044</t>
  </si>
  <si>
    <t>A1883-2</t>
  </si>
  <si>
    <t>4F6-045</t>
  </si>
  <si>
    <t>A1884</t>
  </si>
  <si>
    <t>李大华</t>
  </si>
  <si>
    <t>410727199011082044</t>
  </si>
  <si>
    <t>河南省新乡市封丘县陈固乡李马台村</t>
  </si>
  <si>
    <t>3F8-009</t>
  </si>
  <si>
    <t>仅附部分转账截图</t>
  </si>
  <si>
    <t>A1885</t>
  </si>
  <si>
    <t>樊林林、杨琼玉</t>
  </si>
  <si>
    <t>410882198506047019、410181198603201546</t>
  </si>
  <si>
    <t>郑州市金水区农业路东46号院1号楼2单元1410号</t>
  </si>
  <si>
    <t>3890</t>
  </si>
  <si>
    <t>3F9-003</t>
  </si>
  <si>
    <t>A1886-1</t>
  </si>
  <si>
    <t>李文新</t>
  </si>
  <si>
    <t>410481197207300018</t>
  </si>
  <si>
    <t>郑州市中原区秦岭路9号院8号楼2单元302室</t>
  </si>
  <si>
    <t>3F9-024</t>
  </si>
  <si>
    <t>A1886-2</t>
  </si>
  <si>
    <t>3F9-077</t>
  </si>
  <si>
    <t>A1888</t>
  </si>
  <si>
    <t>王高峰、李远</t>
  </si>
  <si>
    <t>41052619910301907X/410526199106169081</t>
  </si>
  <si>
    <t>河南省滑县王庄镇后王庄村658号</t>
  </si>
  <si>
    <t>15538001820/17839939782</t>
  </si>
  <si>
    <t>1536</t>
  </si>
  <si>
    <t>1F1-021</t>
  </si>
  <si>
    <t>A1890</t>
  </si>
  <si>
    <t>王艳霞</t>
  </si>
  <si>
    <t>410112197001066028</t>
  </si>
  <si>
    <t>郑州市惠济区南阳路11号院附81号</t>
  </si>
  <si>
    <t>15939030308、15225195129</t>
  </si>
  <si>
    <t>3F5-096</t>
  </si>
  <si>
    <t>A1892</t>
  </si>
  <si>
    <t>马桂花、王颢霖</t>
  </si>
  <si>
    <t>410111194804132025/410103201406170256</t>
  </si>
  <si>
    <t>郑州市二七区东耿河西街244号</t>
  </si>
  <si>
    <t>13937152002/15890188378</t>
  </si>
  <si>
    <t>2020-10-8</t>
  </si>
  <si>
    <t>A1893</t>
  </si>
  <si>
    <t>赵魁刚</t>
  </si>
  <si>
    <t>152123198301156334</t>
  </si>
  <si>
    <t>内蒙古呼伦贝尔市莫力达瓦达翰尔族自治旗西瓦尔图镇九龙泉村</t>
  </si>
  <si>
    <t>1F5-049</t>
  </si>
  <si>
    <t>A1894</t>
  </si>
  <si>
    <t>刘维娜</t>
  </si>
  <si>
    <t>41081119810710552X</t>
  </si>
  <si>
    <t>郑州市管城回族区平等街6号平等街社区集体户1号</t>
  </si>
  <si>
    <t>3F8-084</t>
  </si>
  <si>
    <t>A1896</t>
  </si>
  <si>
    <t>李亚</t>
  </si>
  <si>
    <t>410122198908052027</t>
  </si>
  <si>
    <t>郑州市经济技术开发区京航办事处能庄村092号</t>
  </si>
  <si>
    <t>13592676527、17839909376</t>
  </si>
  <si>
    <t>4FA-137</t>
  </si>
  <si>
    <t>A1898</t>
  </si>
  <si>
    <t>张宝东、樊云飞</t>
  </si>
  <si>
    <t>413026198910130939</t>
  </si>
  <si>
    <t>河南省固始县洪埠乡双沟村湖套村民组</t>
  </si>
  <si>
    <t>3F5-027</t>
  </si>
  <si>
    <t>D037</t>
  </si>
  <si>
    <t>赵德政</t>
  </si>
  <si>
    <t>410105196510291073</t>
  </si>
  <si>
    <t>3F1-069</t>
  </si>
  <si>
    <t>退款</t>
  </si>
  <si>
    <t>A1899</t>
  </si>
  <si>
    <t>李宏伟</t>
  </si>
  <si>
    <t>420983199704131332</t>
  </si>
  <si>
    <t>郑州市管城区东大街40号院1号楼2单元13号</t>
  </si>
  <si>
    <t>1F8-001</t>
  </si>
  <si>
    <t>A1900</t>
  </si>
  <si>
    <t>王朝霞</t>
  </si>
  <si>
    <t>412726198505153835</t>
  </si>
  <si>
    <t>郑州市中原区建设西路118号1号楼1单元2801号</t>
  </si>
  <si>
    <t>1F2-062</t>
  </si>
  <si>
    <t>2020.7.10由赵文化更名为王朝霞</t>
  </si>
  <si>
    <t>楼号</t>
  </si>
  <si>
    <t>铺号</t>
  </si>
  <si>
    <t>结构</t>
  </si>
  <si>
    <t>面积</t>
  </si>
  <si>
    <t>单价</t>
  </si>
  <si>
    <t>表总价</t>
  </si>
  <si>
    <t>优惠后总价</t>
  </si>
  <si>
    <t>签约情况</t>
  </si>
  <si>
    <t>A0008</t>
  </si>
  <si>
    <t>余洋洋</t>
  </si>
  <si>
    <t>411503199005052315</t>
  </si>
  <si>
    <t>1层</t>
  </si>
  <si>
    <t>A0344</t>
  </si>
  <si>
    <t>王苏君</t>
  </si>
  <si>
    <t>1-2层</t>
  </si>
  <si>
    <t>A0777-2</t>
  </si>
  <si>
    <t>13948310215</t>
  </si>
  <si>
    <t>河南省商水县黄寨镇王老村三组</t>
  </si>
  <si>
    <t>A0838-1</t>
  </si>
  <si>
    <t>13533712680</t>
  </si>
  <si>
    <t>A0897</t>
  </si>
  <si>
    <t>郭秀云</t>
  </si>
  <si>
    <t>41128197603243027</t>
  </si>
  <si>
    <t>065</t>
  </si>
  <si>
    <t>该商铺2#一层065号在销售房源中不存在，销售单位为恒祥实业，委托经营单位为房地产，与正常的商铺委托经营管理单位河南百悦城商业运营管理公司不一致，二者运营合同条款和收益、租期约定也不一致。债权人曾起诉要求房地产支付第一年运营收益，法院判决房地产支付第一年收益56442及违约金</t>
  </si>
  <si>
    <t>A1023</t>
  </si>
  <si>
    <t>河南启元教育有限公司</t>
  </si>
  <si>
    <t>A1127</t>
  </si>
  <si>
    <t>葛显红</t>
  </si>
  <si>
    <t>411503197202180712</t>
  </si>
  <si>
    <t>A1284</t>
  </si>
  <si>
    <t>许铭浩</t>
  </si>
  <si>
    <t>410103198812080075</t>
  </si>
  <si>
    <t>收据注明订金9#-1-17，销售明细表无此房间</t>
  </si>
  <si>
    <t>A1552</t>
  </si>
  <si>
    <t>宋方、张芒</t>
  </si>
  <si>
    <t>412326198608274232</t>
  </si>
  <si>
    <t>3层</t>
  </si>
  <si>
    <t>销控表无该房源和销售信息，已提交收据和认购协议</t>
  </si>
  <si>
    <t>审核确认债权数额（元）</t>
  </si>
  <si>
    <t>确认情况</t>
  </si>
  <si>
    <t>租金总额</t>
  </si>
  <si>
    <t>收益金额</t>
  </si>
  <si>
    <t>违约金</t>
  </si>
  <si>
    <t>诉讼费</t>
  </si>
  <si>
    <t>申报债权总额</t>
  </si>
  <si>
    <t>核定债权总额</t>
  </si>
  <si>
    <t>审核情况</t>
  </si>
  <si>
    <t>本金</t>
  </si>
  <si>
    <t>孳息</t>
  </si>
  <si>
    <t>迟延履行利息</t>
  </si>
  <si>
    <t>合计</t>
  </si>
  <si>
    <t>账面情况</t>
  </si>
  <si>
    <t>科目</t>
  </si>
  <si>
    <t>金额</t>
  </si>
  <si>
    <t>B1-15-119</t>
  </si>
  <si>
    <t>确认</t>
  </si>
  <si>
    <t>预收账款\商业房</t>
  </si>
  <si>
    <t>A1298-1</t>
  </si>
  <si>
    <t>B1-15-120</t>
  </si>
  <si>
    <t>B1-15-002</t>
  </si>
  <si>
    <t xml:space="preserve">GS </t>
  </si>
  <si>
    <t>A1681</t>
  </si>
  <si>
    <t>张朝帅</t>
  </si>
  <si>
    <t>410181198707151619</t>
  </si>
  <si>
    <t>15890688679</t>
  </si>
  <si>
    <t>B1-15-011</t>
  </si>
  <si>
    <t>A1693-2</t>
  </si>
  <si>
    <t>B1-15-131</t>
  </si>
  <si>
    <t>D002</t>
  </si>
  <si>
    <t>B1-15-001</t>
  </si>
  <si>
    <t>该债权人另购买有商业盒子，账面收款金额与收据金额不一致，需提供流水进一步确认。</t>
  </si>
  <si>
    <t>D003-1</t>
  </si>
  <si>
    <t>B1-15-138</t>
  </si>
  <si>
    <t>租金收益暂缓确认；任花平个人账中摘要“收杨建房款（负一层，3套）问道代收365163元”，但金额为0，需提供流水进一步核实</t>
  </si>
  <si>
    <t>D003-2</t>
  </si>
  <si>
    <t>B1-15-137</t>
  </si>
  <si>
    <t>D003-3</t>
  </si>
  <si>
    <t>B1-15-136</t>
  </si>
  <si>
    <t>D005</t>
  </si>
  <si>
    <t>封文炬</t>
  </si>
  <si>
    <t>410103196306272497</t>
  </si>
  <si>
    <t>B1-15-029</t>
  </si>
  <si>
    <t>仅查询到任花平卡收款110711</t>
  </si>
  <si>
    <t>D006</t>
  </si>
  <si>
    <t>孙兴梅</t>
  </si>
  <si>
    <t>511224197212277840</t>
  </si>
  <si>
    <t>B1-15-065</t>
  </si>
  <si>
    <t>B1-15-066</t>
  </si>
  <si>
    <t>D007</t>
  </si>
  <si>
    <t>刘占峰</t>
  </si>
  <si>
    <t>411081198703214550</t>
  </si>
  <si>
    <t>B1-15-075</t>
  </si>
  <si>
    <t>D008</t>
  </si>
  <si>
    <t>魏星</t>
  </si>
  <si>
    <t>410105195909173824</t>
  </si>
  <si>
    <t>B1-15-058</t>
  </si>
  <si>
    <t>D009</t>
  </si>
  <si>
    <t>王燕</t>
  </si>
  <si>
    <t>410102196212071524</t>
  </si>
  <si>
    <t>B1-15-118</t>
  </si>
  <si>
    <t>D010</t>
  </si>
  <si>
    <t>张秀银</t>
  </si>
  <si>
    <t>412922197703294226</t>
  </si>
  <si>
    <t>2#-1-003</t>
  </si>
  <si>
    <t>不确认</t>
  </si>
  <si>
    <t>判决：第2期经营收益52071元自2019年3月17日计算，第3期收益57857元自2020年3月17日计算，利率日万分之三</t>
  </si>
  <si>
    <t>其他应付款\商铺\张秀银</t>
  </si>
  <si>
    <t>D012</t>
  </si>
  <si>
    <t>田秀梅</t>
  </si>
  <si>
    <t>41010219770413301X</t>
  </si>
  <si>
    <t>B1-15-128</t>
  </si>
  <si>
    <t>D013</t>
  </si>
  <si>
    <t>何溪滢</t>
  </si>
  <si>
    <t>341322198803065829</t>
  </si>
  <si>
    <t>B1-15-026</t>
  </si>
  <si>
    <t>D014</t>
  </si>
  <si>
    <t>聂香英</t>
  </si>
  <si>
    <t>412328196404041828</t>
  </si>
  <si>
    <t>B1-15-016</t>
  </si>
  <si>
    <t>D015</t>
  </si>
  <si>
    <t>B1-15-025</t>
  </si>
  <si>
    <t>D016-1</t>
  </si>
  <si>
    <t>11010619710712331X</t>
  </si>
  <si>
    <t>B1-15-031</t>
  </si>
  <si>
    <t>D016-2</t>
  </si>
  <si>
    <t>B1-15-032</t>
  </si>
  <si>
    <t>D016-3</t>
  </si>
  <si>
    <t>B1-15-033</t>
  </si>
  <si>
    <t>D016-4</t>
  </si>
  <si>
    <t>B1-15-034</t>
  </si>
  <si>
    <t>D025</t>
  </si>
  <si>
    <t>B1-15-030</t>
  </si>
  <si>
    <t>恒祥2万问道117483</t>
  </si>
  <si>
    <t>D027</t>
  </si>
  <si>
    <t>刘丽英</t>
  </si>
  <si>
    <t>410222197606266063</t>
  </si>
  <si>
    <t>B1-15-005</t>
  </si>
  <si>
    <t>D032</t>
  </si>
  <si>
    <t>郭素玲</t>
  </si>
  <si>
    <t>410928195706150161</t>
  </si>
  <si>
    <t>B1-15-140</t>
  </si>
  <si>
    <t>48612.14租金收益暂缓确认</t>
  </si>
  <si>
    <t>D045-1</t>
  </si>
  <si>
    <t>李红、刘舒宁</t>
  </si>
  <si>
    <t>410102195303250021
 410102198005160021</t>
  </si>
  <si>
    <t>13803862759  
13838541331</t>
  </si>
  <si>
    <t>B1-15-134</t>
  </si>
  <si>
    <t>预收账款\商业房款\李红、刘舒宁</t>
  </si>
  <si>
    <t>D045-2</t>
  </si>
  <si>
    <t>B1-15-135</t>
  </si>
  <si>
    <t>D051</t>
  </si>
  <si>
    <t>李保营</t>
  </si>
  <si>
    <t>412929197709151482</t>
  </si>
  <si>
    <t>18638016696/15981862318</t>
  </si>
  <si>
    <t>B1-15-028</t>
  </si>
  <si>
    <t>商铺租赁合同书、收据，租金收益参考同类判例</t>
  </si>
  <si>
    <t>T067</t>
  </si>
  <si>
    <t>王路航、杜歌菊</t>
  </si>
  <si>
    <t>13613829950/17630103427</t>
  </si>
  <si>
    <t>B1-15-104</t>
  </si>
  <si>
    <t>附民事判决书：恒祥实业还原告杜歌菊、王路航租金 230000 元；百悦城商业运营管理有限公司还租金收益 52900 元及违约金 1135.5 元；案件受理费减半收取 2780 元，由被告河南恒祥实业有限公司负担 2251 元，由被告河南百悦城商业运营管理有限公司负担 529
元</t>
  </si>
  <si>
    <t>表1</t>
  </si>
  <si>
    <t>工程及经营费用《债权确认表》</t>
  </si>
  <si>
    <t>序号</t>
  </si>
  <si>
    <t>材料
编号</t>
  </si>
  <si>
    <t>基本信息</t>
  </si>
  <si>
    <t>申报债权金额（元）</t>
  </si>
  <si>
    <t>暂缓确认数额</t>
  </si>
  <si>
    <t>债权人</t>
  </si>
  <si>
    <t>联系人</t>
  </si>
  <si>
    <t>联系方式</t>
  </si>
  <si>
    <t>保证金</t>
  </si>
  <si>
    <t>一般利息/违约金/滞纳金</t>
  </si>
  <si>
    <t>确认合计</t>
  </si>
  <si>
    <t>D017</t>
  </si>
  <si>
    <t>李英存</t>
  </si>
  <si>
    <t>138****8093</t>
  </si>
  <si>
    <t>待确认</t>
  </si>
  <si>
    <t>D019</t>
  </si>
  <si>
    <t>河南臻威建筑工程有限公司</t>
  </si>
  <si>
    <t>187****9666</t>
  </si>
  <si>
    <t>D020</t>
  </si>
  <si>
    <t>魏建峰</t>
  </si>
  <si>
    <t>139****5658/
176****3099</t>
  </si>
  <si>
    <t>D021</t>
  </si>
  <si>
    <t>速捷电梯有限公司</t>
  </si>
  <si>
    <t>周业华</t>
  </si>
  <si>
    <t>186****6061</t>
  </si>
  <si>
    <t>D029</t>
  </si>
  <si>
    <t>阿其埃尔（北京）建筑景观设计事务所有限公司</t>
  </si>
  <si>
    <t>段俊可</t>
  </si>
  <si>
    <t>151****6737</t>
  </si>
  <si>
    <t>D030</t>
  </si>
  <si>
    <t>河南容转商贸有限公司</t>
  </si>
  <si>
    <t>段书全</t>
  </si>
  <si>
    <t>155****6666</t>
  </si>
  <si>
    <t>D033</t>
  </si>
  <si>
    <t>江苏沪杭机电工程有限公司</t>
  </si>
  <si>
    <t>高乃马</t>
  </si>
  <si>
    <t>138****5520</t>
  </si>
  <si>
    <t>D034-1</t>
  </si>
  <si>
    <t>中外建华诚工程技术集团有限公司</t>
  </si>
  <si>
    <t>D034-2</t>
  </si>
  <si>
    <t>许浣玲</t>
  </si>
  <si>
    <t>133****3393/
139****8392</t>
  </si>
  <si>
    <t>D044</t>
  </si>
  <si>
    <t>郑州市鑫成机电安装工程有限公司</t>
  </si>
  <si>
    <t>耿兴文</t>
  </si>
  <si>
    <t>137****6963</t>
  </si>
  <si>
    <t>D046</t>
  </si>
  <si>
    <t>岩土科技股份有限公司</t>
  </si>
  <si>
    <t>尹武汉</t>
  </si>
  <si>
    <t>131****1972</t>
  </si>
  <si>
    <t>G001-1</t>
  </si>
  <si>
    <t>河南鸿梓建筑装饰工程有限公司</t>
  </si>
  <si>
    <t>刘光宇</t>
  </si>
  <si>
    <t>183****6222</t>
  </si>
  <si>
    <t>G001-2</t>
  </si>
  <si>
    <t>G002</t>
  </si>
  <si>
    <t>福元鼎安装工程有限公司</t>
  </si>
  <si>
    <t>赵卫东</t>
  </si>
  <si>
    <t>132****6800</t>
  </si>
  <si>
    <t>G003</t>
  </si>
  <si>
    <t>平顶山市庆祥和商贸有限公司</t>
  </si>
  <si>
    <t>姚京毫</t>
  </si>
  <si>
    <t>189****7188</t>
  </si>
  <si>
    <t>G004</t>
  </si>
  <si>
    <t>融纬勘测有限公司</t>
  </si>
  <si>
    <t>孟冬青</t>
  </si>
  <si>
    <t>187****1982</t>
  </si>
  <si>
    <t>G005</t>
  </si>
  <si>
    <t>宁波宏旸劳务服务有限公司</t>
  </si>
  <si>
    <t>王臻龙</t>
  </si>
  <si>
    <t>158****5353</t>
  </si>
  <si>
    <t>确认+待确认</t>
  </si>
  <si>
    <t>G006</t>
  </si>
  <si>
    <t>河南瑞恒建筑工程有限公司</t>
  </si>
  <si>
    <t>139****8388</t>
  </si>
  <si>
    <t>G007</t>
  </si>
  <si>
    <t>河南省天地源劳务服务有限公司</t>
  </si>
  <si>
    <t>麻建春</t>
  </si>
  <si>
    <t>137****9188</t>
  </si>
  <si>
    <t>G008</t>
  </si>
  <si>
    <t>河南省天地源防水防腐工程有限公司</t>
  </si>
  <si>
    <t>G009</t>
  </si>
  <si>
    <t>兴建建设管理有限公司</t>
  </si>
  <si>
    <t>谢勇</t>
  </si>
  <si>
    <t>185****9898</t>
  </si>
  <si>
    <t>G010</t>
  </si>
  <si>
    <t>北京宇阳泽丽防水材料有限责任公司</t>
  </si>
  <si>
    <t>崔东民</t>
  </si>
  <si>
    <t>156****1113</t>
  </si>
  <si>
    <t>G011</t>
  </si>
  <si>
    <t>河南大鼎建筑工程有限公司</t>
  </si>
  <si>
    <t>汪爱民</t>
  </si>
  <si>
    <t>186****5678</t>
  </si>
  <si>
    <t>G012</t>
  </si>
  <si>
    <t>河南省建设基础工程有限公司</t>
  </si>
  <si>
    <t>黄国庆</t>
  </si>
  <si>
    <t>135****0765</t>
  </si>
  <si>
    <t>G013-1</t>
  </si>
  <si>
    <t>张坤杰</t>
  </si>
  <si>
    <t>155****2000</t>
  </si>
  <si>
    <t>G013-2</t>
  </si>
  <si>
    <t>G014</t>
  </si>
  <si>
    <t>河南省建筑设计研究院有限公司</t>
  </si>
  <si>
    <t>柴宵</t>
  </si>
  <si>
    <t>139****9179</t>
  </si>
  <si>
    <t>G015</t>
  </si>
  <si>
    <t>河南华盛建设集团有限公司</t>
  </si>
  <si>
    <t>宋玉林</t>
  </si>
  <si>
    <t>186****8889</t>
  </si>
  <si>
    <t>G016</t>
  </si>
  <si>
    <t>河南航天建筑工程有限公司</t>
  </si>
  <si>
    <t>王遵梅、杨阳</t>
  </si>
  <si>
    <t>185****6545、139****6367</t>
  </si>
  <si>
    <t>G017</t>
  </si>
  <si>
    <t>河南省有色工程勘察有限公司</t>
  </si>
  <si>
    <t>王天运</t>
  </si>
  <si>
    <t>139****6715</t>
  </si>
  <si>
    <t>G018</t>
  </si>
  <si>
    <t>139****4018</t>
  </si>
  <si>
    <t>G019</t>
  </si>
  <si>
    <t>河南城资建筑工程有限公司</t>
  </si>
  <si>
    <t>王少坤</t>
  </si>
  <si>
    <t>130****6736</t>
  </si>
  <si>
    <t>G020</t>
  </si>
  <si>
    <t>连吉星</t>
  </si>
  <si>
    <t>150****9707</t>
  </si>
  <si>
    <t>G021</t>
  </si>
  <si>
    <t>河南工程水文地质勘察院有限公司</t>
  </si>
  <si>
    <t>李水旺</t>
  </si>
  <si>
    <t>133****3886</t>
  </si>
  <si>
    <t>G022</t>
  </si>
  <si>
    <t>河南省创新工程质量检测有限公司</t>
  </si>
  <si>
    <t>赵小开</t>
  </si>
  <si>
    <t>132****6364</t>
  </si>
  <si>
    <t>G023</t>
  </si>
  <si>
    <t>郑州砼之升建材有限公司</t>
  </si>
  <si>
    <t>刘昭</t>
  </si>
  <si>
    <t>136****8833</t>
  </si>
  <si>
    <t>G024</t>
  </si>
  <si>
    <t>中核勘察设计研究有限公司</t>
  </si>
  <si>
    <t>李晓林</t>
  </si>
  <si>
    <t>183****7785</t>
  </si>
  <si>
    <t>G025</t>
  </si>
  <si>
    <t>河南兆之铄实业有限公司</t>
  </si>
  <si>
    <t>胡攀龙</t>
  </si>
  <si>
    <t>185****5245</t>
  </si>
  <si>
    <t>G026</t>
  </si>
  <si>
    <t>河南名匠实业有限公司</t>
  </si>
  <si>
    <t>吕佳妮</t>
  </si>
  <si>
    <t>185****5581</t>
  </si>
  <si>
    <t>G027</t>
  </si>
  <si>
    <t>河南省广发建筑工程有限公司</t>
  </si>
  <si>
    <t>周长征</t>
  </si>
  <si>
    <t>155****7777</t>
  </si>
  <si>
    <t>G028</t>
  </si>
  <si>
    <t>D001</t>
  </si>
  <si>
    <t>河南公信房地产评估有限公司</t>
  </si>
  <si>
    <t>李广辉</t>
  </si>
  <si>
    <t>182****2918</t>
  </si>
  <si>
    <t>D018</t>
  </si>
  <si>
    <t>河南大美圆成律师事务所</t>
  </si>
  <si>
    <t>王鑫豪/李东风</t>
  </si>
  <si>
    <t>157****5763</t>
  </si>
  <si>
    <t>D022</t>
  </si>
  <si>
    <t>河北问道房地产经纪有限公司</t>
  </si>
  <si>
    <t>杨继永/郭苏方</t>
  </si>
  <si>
    <t>153****6088</t>
  </si>
  <si>
    <t>D024</t>
  </si>
  <si>
    <t>河南中瑞房地产营销策划有限公司</t>
  </si>
  <si>
    <t>孔涛</t>
  </si>
  <si>
    <t>132****6843</t>
  </si>
  <si>
    <t>D028</t>
  </si>
  <si>
    <t>河南豫龙律师事务所</t>
  </si>
  <si>
    <t>李玉飞</t>
  </si>
  <si>
    <t>159****3672</t>
  </si>
  <si>
    <t>D039</t>
  </si>
  <si>
    <t>武汉市非常道营销顾问有限公司</t>
  </si>
  <si>
    <t>蔡昆</t>
  </si>
  <si>
    <t>027****16009</t>
  </si>
  <si>
    <t>D040</t>
  </si>
  <si>
    <t>纪治国</t>
  </si>
  <si>
    <t>155****2819</t>
  </si>
  <si>
    <t>D041</t>
  </si>
  <si>
    <t>陈屹（原郑州泰赢房地产咨询代理有限公司）</t>
  </si>
  <si>
    <t>陈屹</t>
  </si>
  <si>
    <t>186****2555</t>
  </si>
  <si>
    <t>D043</t>
  </si>
  <si>
    <t>河南标点房地产营销策划有限公司</t>
  </si>
  <si>
    <t>王琼</t>
  </si>
  <si>
    <t>186****8769</t>
  </si>
  <si>
    <t>D047</t>
  </si>
  <si>
    <t>河南彭友律师事务所（原河南规范律师事务所）</t>
  </si>
  <si>
    <t>D048</t>
  </si>
  <si>
    <t>138****1662</t>
  </si>
  <si>
    <t>D049</t>
  </si>
  <si>
    <t>李超</t>
  </si>
  <si>
    <t>188****9810</t>
  </si>
  <si>
    <t>D050</t>
  </si>
  <si>
    <t>广东宏德科技物业服务有限公司郑州分公司</t>
  </si>
  <si>
    <t>焦新奇</t>
  </si>
  <si>
    <t>183****8133</t>
  </si>
  <si>
    <t>D052</t>
  </si>
  <si>
    <t>郑州市美今商贸有限公司</t>
  </si>
  <si>
    <t>王松辉</t>
  </si>
  <si>
    <t>159****7614</t>
  </si>
  <si>
    <t>D053</t>
  </si>
  <si>
    <t>尤尼泰河南税务师事务所有限公司</t>
  </si>
  <si>
    <t>蔡露</t>
  </si>
  <si>
    <t>159****1199</t>
  </si>
  <si>
    <t>J074</t>
  </si>
  <si>
    <t>宏信（郑州）置业有限公司</t>
  </si>
  <si>
    <t>陈阳</t>
  </si>
  <si>
    <t>185****1739</t>
  </si>
  <si>
    <t>J075</t>
  </si>
  <si>
    <t>河南福晟置业有限公司</t>
  </si>
  <si>
    <t>申报债权金额</t>
  </si>
  <si>
    <t>债权申报资料</t>
  </si>
  <si>
    <t>核实债权金额</t>
  </si>
  <si>
    <t>暂缓确认数额（元）</t>
  </si>
  <si>
    <t>核实金额合计</t>
  </si>
  <si>
    <t>业务内容</t>
  </si>
  <si>
    <t>费用类别</t>
  </si>
  <si>
    <t>合同总价</t>
  </si>
  <si>
    <t>已付金额</t>
  </si>
  <si>
    <t>欠付金额</t>
  </si>
  <si>
    <t>债务利息</t>
  </si>
  <si>
    <t>诉讼费、律师费</t>
  </si>
  <si>
    <t>业务合同</t>
  </si>
  <si>
    <t>业务成果文件及欠款计算单</t>
  </si>
  <si>
    <t>判决、裁定等法律文书</t>
  </si>
  <si>
    <t>其他资料</t>
  </si>
  <si>
    <t>核实债权总额</t>
  </si>
  <si>
    <t>诉讼费用</t>
  </si>
  <si>
    <t>房地产价值评估</t>
  </si>
  <si>
    <t>管理费用-评估费</t>
  </si>
  <si>
    <t>√</t>
  </si>
  <si>
    <t>收款银行回单</t>
  </si>
  <si>
    <t>待核实1</t>
  </si>
  <si>
    <t>律所：电话通知补交评估报告；待核实业务成果</t>
  </si>
  <si>
    <t>法律服务服务费</t>
  </si>
  <si>
    <t>管理费用-律师费</t>
  </si>
  <si>
    <t>待核实2</t>
  </si>
  <si>
    <t>佣金</t>
  </si>
  <si>
    <t>销售费用-佣金</t>
  </si>
  <si>
    <t>销售明细表</t>
  </si>
  <si>
    <t>大</t>
  </si>
  <si>
    <t>销售费用-营销费</t>
  </si>
  <si>
    <t>营业执照</t>
  </si>
  <si>
    <t>违约金自2020/6/15起至清偿之日按3.85%计算</t>
  </si>
  <si>
    <t>账面有，已申报</t>
  </si>
  <si>
    <t>应付账款</t>
  </si>
  <si>
    <t>律师代理费及法律顾问费</t>
  </si>
  <si>
    <t>以85.86万元为基数，自 2021 年 3 月 4 日起按照同期全国银行问同业拆借中心公布的贷款市场报价利率计算至实际清偿之日止</t>
  </si>
  <si>
    <t>027-86716009</t>
  </si>
  <si>
    <t>广告代理服务</t>
  </si>
  <si>
    <t>转账记录，发票，房款收据</t>
  </si>
  <si>
    <t>2017/9/28付10万
2018/11/19付5万;
2019.3.14以广告费55万抵2#1019房款55万，恒祥房地产出具收据，业主蔡昆，因未完成工程对外出售，债权人申请确认该欠款，另该房款债权未申报;</t>
  </si>
  <si>
    <t>代恒祥实业支付保全证据公证费</t>
  </si>
  <si>
    <t>管理费用-公证费</t>
  </si>
  <si>
    <t>转账记录，公证书、公证缴费单</t>
  </si>
  <si>
    <t>纪治国（员工？？？）作为代理人代恒祥实业支付公证费4万元，公证书、公证缴费单均为河南郑州市黄河公证处，转账记录上收款人为河南省公证处，向申报人核实为何二者公证单位不一致；公证书出具日期为2021.6.25，付款时间为2022.3.4，为何相隔将近9个月才付款；</t>
  </si>
  <si>
    <t>待核实1、2</t>
  </si>
  <si>
    <t>郑州泰赢房地产咨询代理有限公司已于2021.4.21工商注销，由唯一股东陈屹申报债权，该债权是否承认；未提供任何证据材料</t>
  </si>
  <si>
    <t>代理销售房屋</t>
  </si>
  <si>
    <t>附恒祥与福宇签订的合同。
民事裁定书内容：498061.6元的利息按4.35%的标准自2019.7.1计算至实际清偿之日止；257213.79元按3.85%的标准自2021.6.3计算至实际清偿之日止</t>
  </si>
  <si>
    <t>律师服务费</t>
  </si>
  <si>
    <t>债权转让协议，履约情况说明、发票</t>
  </si>
  <si>
    <t>账面显示恒祥实业付河南规范律所25万，账面显示对李东风的债权75万+29.45万，是否和法律顾问费相关，需核审计付款情况；合同约定违约日息为千分之一，申报利率为LPR的4倍14.8%计算，二者不一致</t>
  </si>
  <si>
    <t>代垫恒祥实业水电费</t>
  </si>
  <si>
    <t>管理费用-水电费</t>
  </si>
  <si>
    <t>发票复印件、付款小票、转账记录</t>
  </si>
  <si>
    <t>律所不确认原因：无垫付凭证、无报销单据，财务账簿无记录;
1、存在房地产、河南三和店里工程公司、河南亚中节能科技公司等非恒祥实业的发票合计26913.74元；2、申报金额中14770元仅有转款记录，性质不明需落实；3、需核实账面是否挂账证明真实性</t>
  </si>
  <si>
    <t>恒祥实业费用报销</t>
  </si>
  <si>
    <t>管理费用-油费、差旅、招待</t>
  </si>
  <si>
    <t>发票、报销单（疑补做，百恒签字部分为2021年）</t>
  </si>
  <si>
    <t>部分确认：92832.43有法代白恒签字确认的报销单，及发票；
不确认：54600元仅有发票，但无报销单，也无垫付支出流水
发票、报销单（疑补做，白恒签字部分为2021年）</t>
  </si>
  <si>
    <t>物业服务费</t>
  </si>
  <si>
    <t>管理费用-物业费</t>
  </si>
  <si>
    <t>管理服务费用支出明细</t>
  </si>
  <si>
    <t>不确认原因：仅提供《前期物业服务合同》及自制费用支出明细表，无支出凭证，无法认定；物业中标单位，负责前期物业管理服务</t>
  </si>
  <si>
    <t>管理费用-办公费</t>
  </si>
  <si>
    <t>发票、转账审批单（经主管领导审批）</t>
  </si>
  <si>
    <t>确认：公司行政人员签付款审批单；
发票、转账审批单、零星用品明细2020-2021.5（经主管领导审批）</t>
  </si>
  <si>
    <t xml:space="preserve">蔡露 </t>
  </si>
  <si>
    <t>未见到材料</t>
  </si>
  <si>
    <t>管理费用-咨询费</t>
  </si>
  <si>
    <t>暂缓确认：未提交财务审计报告等证明合同履行证据，需要核实财务数据；通知代理人补交审计报告等合同履行证明，解封后提交
仅提供协议且未2016年签订，无法核实服务成果</t>
  </si>
  <si>
    <t>茅台酒</t>
  </si>
  <si>
    <t>管理费用-招待费</t>
  </si>
  <si>
    <t>申报金额日息按360计算，未申报日万分之1.75的迟延履行金</t>
  </si>
  <si>
    <t>房租</t>
  </si>
  <si>
    <t>管理费用-租金</t>
  </si>
  <si>
    <t>房地产签订合同，实业、白国法 白恒提供担保</t>
  </si>
  <si>
    <t>表2</t>
  </si>
  <si>
    <t>金融借贷及房贷《债权确认表》</t>
  </si>
  <si>
    <t>债权申报金额</t>
  </si>
  <si>
    <t>借款人</t>
  </si>
  <si>
    <t>借款本金</t>
  </si>
  <si>
    <t>未支付利息</t>
  </si>
  <si>
    <t>诉讼费、
保全费</t>
  </si>
  <si>
    <t>申报总额</t>
  </si>
  <si>
    <t>J080</t>
  </si>
  <si>
    <t>华夏银行股份有限公司郑州分行</t>
  </si>
  <si>
    <t>翟天一</t>
  </si>
  <si>
    <t>188****8828</t>
  </si>
  <si>
    <t>杨琳等56名借款人</t>
  </si>
  <si>
    <t>J081</t>
  </si>
  <si>
    <t>中诚信托有限责任公司</t>
  </si>
  <si>
    <t>黄磊</t>
  </si>
  <si>
    <t>河南恒祥实业有限公司</t>
  </si>
  <si>
    <t>J082</t>
  </si>
  <si>
    <t>河南安阳商都农村商业银行股份有限公司中华路分理处</t>
  </si>
  <si>
    <t>牛保山</t>
  </si>
  <si>
    <t>139****7066</t>
  </si>
  <si>
    <t>安阳市伟巍商贸有限公司</t>
  </si>
  <si>
    <t>J083</t>
  </si>
  <si>
    <t>河南朋朗商贸有限公司</t>
  </si>
  <si>
    <t>J089-1</t>
  </si>
  <si>
    <t>河南安阳商都农村商业银行股份有限公司</t>
  </si>
  <si>
    <t>张军书</t>
  </si>
  <si>
    <t>185****1232</t>
  </si>
  <si>
    <t>李佩霞、刘朋飞、樊建霞等96人（正常还贷）+于果、王金梅、张建莉（逾期）</t>
  </si>
  <si>
    <t>J089-2</t>
  </si>
  <si>
    <t>陆旋（解除合同）</t>
  </si>
  <si>
    <t>J098</t>
  </si>
  <si>
    <t>上海浦东发展银行股份有限公司郑州分行</t>
  </si>
  <si>
    <t>牛冬婕</t>
  </si>
  <si>
    <t>185****8195</t>
  </si>
  <si>
    <t>宿依楠等21人</t>
  </si>
  <si>
    <t>表3</t>
  </si>
  <si>
    <t>民间借贷及其他类债权确认表</t>
  </si>
  <si>
    <t>债权申报总额</t>
  </si>
  <si>
    <t>暂缓确认合计</t>
  </si>
  <si>
    <t>D023</t>
  </si>
  <si>
    <t>刘进明</t>
  </si>
  <si>
    <t>157****8333</t>
  </si>
  <si>
    <t>D031</t>
  </si>
  <si>
    <t>胡晓杰</t>
  </si>
  <si>
    <t>150****9879</t>
  </si>
  <si>
    <t>D035</t>
  </si>
  <si>
    <t>杨涛</t>
  </si>
  <si>
    <t>189****1828、
139****5788</t>
  </si>
  <si>
    <t>D036</t>
  </si>
  <si>
    <t>谭志东</t>
  </si>
  <si>
    <t>139****5788、
189****1828</t>
  </si>
  <si>
    <t>D038</t>
  </si>
  <si>
    <t>黄玲</t>
  </si>
  <si>
    <t>180****7188</t>
  </si>
  <si>
    <t>D054</t>
  </si>
  <si>
    <t>西安奥斯卡金花影城有限公司</t>
  </si>
  <si>
    <t>137****8423</t>
  </si>
  <si>
    <t>D055</t>
  </si>
  <si>
    <t>安徽省格瑞仕健身运营管理有限公司</t>
  </si>
  <si>
    <t>****</t>
  </si>
  <si>
    <t>J001</t>
  </si>
  <si>
    <t>鲍国新</t>
  </si>
  <si>
    <t>133****5199</t>
  </si>
  <si>
    <t>J002</t>
  </si>
  <si>
    <t>J003</t>
  </si>
  <si>
    <t>刘雪琪</t>
  </si>
  <si>
    <t>J004</t>
  </si>
  <si>
    <t>刘雪丹</t>
  </si>
  <si>
    <t>J005</t>
  </si>
  <si>
    <t>陈利平</t>
  </si>
  <si>
    <t>159****8192</t>
  </si>
  <si>
    <t>J006</t>
  </si>
  <si>
    <t>刘双</t>
  </si>
  <si>
    <t>136****2590</t>
  </si>
  <si>
    <t>J007</t>
  </si>
  <si>
    <t>阴育才</t>
  </si>
  <si>
    <t>159****1828</t>
  </si>
  <si>
    <t>J008</t>
  </si>
  <si>
    <t>河南九商物业服务集团有限公司</t>
  </si>
  <si>
    <t>189****5155</t>
  </si>
  <si>
    <t>J009</t>
  </si>
  <si>
    <t>徐嘉旭</t>
  </si>
  <si>
    <t>139****0632</t>
  </si>
  <si>
    <t>J010-1</t>
  </si>
  <si>
    <t>刘奕</t>
  </si>
  <si>
    <t>139****0510</t>
  </si>
  <si>
    <t>J010-2</t>
  </si>
  <si>
    <t>J010-3</t>
  </si>
  <si>
    <t>J010-4</t>
  </si>
  <si>
    <t>J010-5</t>
  </si>
  <si>
    <t>J011</t>
  </si>
  <si>
    <t>袁素琴</t>
  </si>
  <si>
    <t>137****6197</t>
  </si>
  <si>
    <t>J012</t>
  </si>
  <si>
    <t>刘彦松</t>
  </si>
  <si>
    <t>136****7394</t>
  </si>
  <si>
    <t>J013</t>
  </si>
  <si>
    <t>时亚楠</t>
  </si>
  <si>
    <t>137****7830</t>
  </si>
  <si>
    <t>J014</t>
  </si>
  <si>
    <t>侯文荣</t>
  </si>
  <si>
    <t>135****6919</t>
  </si>
  <si>
    <t>J015</t>
  </si>
  <si>
    <t>张巧玲</t>
  </si>
  <si>
    <t>135****0868</t>
  </si>
  <si>
    <t>J016</t>
  </si>
  <si>
    <t>刘同顺</t>
  </si>
  <si>
    <t>136****9902</t>
  </si>
  <si>
    <t>J017</t>
  </si>
  <si>
    <t>王春霞</t>
  </si>
  <si>
    <t>150****9815</t>
  </si>
  <si>
    <t>J018</t>
  </si>
  <si>
    <t>176****0009</t>
  </si>
  <si>
    <t>J019</t>
  </si>
  <si>
    <t>张红宾</t>
  </si>
  <si>
    <t>138****2748</t>
  </si>
  <si>
    <t>J020</t>
  </si>
  <si>
    <t>徐艳菊</t>
  </si>
  <si>
    <t>186****6932</t>
  </si>
  <si>
    <t>J021</t>
  </si>
  <si>
    <t>刘勇伟</t>
  </si>
  <si>
    <t>139****0929</t>
  </si>
  <si>
    <t>J022</t>
  </si>
  <si>
    <t>周立波</t>
  </si>
  <si>
    <t>136****2112</t>
  </si>
  <si>
    <t>J023</t>
  </si>
  <si>
    <t>吕淑田</t>
  </si>
  <si>
    <t>158****6657</t>
  </si>
  <si>
    <t>J024</t>
  </si>
  <si>
    <t>周立娟</t>
  </si>
  <si>
    <t>156****6766</t>
  </si>
  <si>
    <t>J025</t>
  </si>
  <si>
    <t>刘美云</t>
  </si>
  <si>
    <t>151****6686</t>
  </si>
  <si>
    <t>J026</t>
  </si>
  <si>
    <t>张桂玲</t>
  </si>
  <si>
    <t>137****8989</t>
  </si>
  <si>
    <t>J027</t>
  </si>
  <si>
    <t>刘军</t>
  </si>
  <si>
    <t>139****3695</t>
  </si>
  <si>
    <t>J028</t>
  </si>
  <si>
    <t>刘凯</t>
  </si>
  <si>
    <t>136****4013</t>
  </si>
  <si>
    <t>J029</t>
  </si>
  <si>
    <t>刘书亮</t>
  </si>
  <si>
    <t>139****5108</t>
  </si>
  <si>
    <t>J030</t>
  </si>
  <si>
    <t>吴桂枝</t>
  </si>
  <si>
    <t>151****3739</t>
  </si>
  <si>
    <t>J031</t>
  </si>
  <si>
    <t>姚芝萍</t>
  </si>
  <si>
    <t>136****9323</t>
  </si>
  <si>
    <t>J032</t>
  </si>
  <si>
    <t>于若凤</t>
  </si>
  <si>
    <t>135****8563</t>
  </si>
  <si>
    <t>J033</t>
  </si>
  <si>
    <t>刘根成</t>
  </si>
  <si>
    <t>137****6260</t>
  </si>
  <si>
    <t>J034</t>
  </si>
  <si>
    <t>王长春</t>
  </si>
  <si>
    <t>136****4085</t>
  </si>
  <si>
    <t>J035</t>
  </si>
  <si>
    <t>吴洋</t>
  </si>
  <si>
    <t>183****7619</t>
  </si>
  <si>
    <t>J036</t>
  </si>
  <si>
    <t>徐天立</t>
  </si>
  <si>
    <t>139****9077</t>
  </si>
  <si>
    <t>J037</t>
  </si>
  <si>
    <t>阴玲先</t>
  </si>
  <si>
    <t>153****5082</t>
  </si>
  <si>
    <t>J038</t>
  </si>
  <si>
    <t>吴海英</t>
  </si>
  <si>
    <t>J039</t>
  </si>
  <si>
    <t>刘金亮</t>
  </si>
  <si>
    <t>136****2586</t>
  </si>
  <si>
    <t>J040</t>
  </si>
  <si>
    <t>李建增</t>
  </si>
  <si>
    <t>139****6501</t>
  </si>
  <si>
    <t>J041</t>
  </si>
  <si>
    <t>楚志琴</t>
  </si>
  <si>
    <t>186****0082</t>
  </si>
  <si>
    <t>J042</t>
  </si>
  <si>
    <t>王君敏</t>
  </si>
  <si>
    <t>135****7168</t>
  </si>
  <si>
    <t>J043</t>
  </si>
  <si>
    <t>楚志娟</t>
  </si>
  <si>
    <t>176****5378</t>
  </si>
  <si>
    <t>J044-1</t>
  </si>
  <si>
    <t>136****9799</t>
  </si>
  <si>
    <t>J044-2</t>
  </si>
  <si>
    <t>J045</t>
  </si>
  <si>
    <t>王保全</t>
  </si>
  <si>
    <t>138****5432/
135****2131</t>
  </si>
  <si>
    <t>J046</t>
  </si>
  <si>
    <t>李巧香</t>
  </si>
  <si>
    <t>130****0332</t>
  </si>
  <si>
    <t>J047</t>
  </si>
  <si>
    <t>王丽华</t>
  </si>
  <si>
    <t>186****1077</t>
  </si>
  <si>
    <t>J048</t>
  </si>
  <si>
    <t>田景亮</t>
  </si>
  <si>
    <t>135****5854</t>
  </si>
  <si>
    <t>J049</t>
  </si>
  <si>
    <t>曹庆</t>
  </si>
  <si>
    <t>185****5555</t>
  </si>
  <si>
    <t>J050</t>
  </si>
  <si>
    <t>刘蓓蕾</t>
  </si>
  <si>
    <t>158****8018</t>
  </si>
  <si>
    <t>J051</t>
  </si>
  <si>
    <t>宋爱芳</t>
  </si>
  <si>
    <t>137****7253</t>
  </si>
  <si>
    <t>J052</t>
  </si>
  <si>
    <t>张春英</t>
  </si>
  <si>
    <t>187****0656</t>
  </si>
  <si>
    <t>J053</t>
  </si>
  <si>
    <t>海小玲</t>
  </si>
  <si>
    <t>138****4216</t>
  </si>
  <si>
    <t>J054</t>
  </si>
  <si>
    <t>海梅英</t>
  </si>
  <si>
    <t>182****5359</t>
  </si>
  <si>
    <t>J055</t>
  </si>
  <si>
    <t>海凤霞</t>
  </si>
  <si>
    <t>138****3357</t>
  </si>
  <si>
    <t>J056</t>
  </si>
  <si>
    <t>海云秀</t>
  </si>
  <si>
    <t>135****3368</t>
  </si>
  <si>
    <t>J057</t>
  </si>
  <si>
    <t>娄艳红</t>
  </si>
  <si>
    <t>136****8288</t>
  </si>
  <si>
    <t>J058</t>
  </si>
  <si>
    <t>张美荣</t>
  </si>
  <si>
    <t>155****0169</t>
  </si>
  <si>
    <t>J059</t>
  </si>
  <si>
    <t>王艳萍</t>
  </si>
  <si>
    <t>135****8662</t>
  </si>
  <si>
    <t>J060</t>
  </si>
  <si>
    <t>刘国顺</t>
  </si>
  <si>
    <t>158****8302</t>
  </si>
  <si>
    <t>J061</t>
  </si>
  <si>
    <t>王淑景</t>
  </si>
  <si>
    <t>155****8981</t>
  </si>
  <si>
    <t>J062</t>
  </si>
  <si>
    <t>刘明成</t>
  </si>
  <si>
    <t>130****6512</t>
  </si>
  <si>
    <t>J063</t>
  </si>
  <si>
    <t>杨淑萍</t>
  </si>
  <si>
    <t>139****8228</t>
  </si>
  <si>
    <t>J064</t>
  </si>
  <si>
    <t>张敏、张海涛、海梅英</t>
  </si>
  <si>
    <t>135****5788</t>
  </si>
  <si>
    <t>J065</t>
  </si>
  <si>
    <t>刘喜贵</t>
  </si>
  <si>
    <t>136****3971</t>
  </si>
  <si>
    <t>J066</t>
  </si>
  <si>
    <t>139****3290</t>
  </si>
  <si>
    <t>J067</t>
  </si>
  <si>
    <t>宁四明</t>
  </si>
  <si>
    <t>136****1238</t>
  </si>
  <si>
    <t>J068-1</t>
  </si>
  <si>
    <t>刘国臣</t>
  </si>
  <si>
    <t>138****2828</t>
  </si>
  <si>
    <t>J068-2</t>
  </si>
  <si>
    <t>J069</t>
  </si>
  <si>
    <t>155****6689</t>
  </si>
  <si>
    <t>J070-1</t>
  </si>
  <si>
    <t>张德河</t>
  </si>
  <si>
    <t>176****1590</t>
  </si>
  <si>
    <t>J070-2</t>
  </si>
  <si>
    <t>J071</t>
  </si>
  <si>
    <t>刘保德</t>
  </si>
  <si>
    <t>139****2663</t>
  </si>
  <si>
    <t>J072</t>
  </si>
  <si>
    <t>李孟瑶</t>
  </si>
  <si>
    <t>187****8211</t>
  </si>
  <si>
    <t>J073</t>
  </si>
  <si>
    <t>136****0571</t>
  </si>
  <si>
    <t>J076</t>
  </si>
  <si>
    <t>河南宏欣建设劳务有限公司</t>
  </si>
  <si>
    <t>J077</t>
  </si>
  <si>
    <t>李甫生</t>
  </si>
  <si>
    <t>J078</t>
  </si>
  <si>
    <t>乔海丽</t>
  </si>
  <si>
    <t>J079</t>
  </si>
  <si>
    <t>殷妍</t>
  </si>
  <si>
    <t>J084</t>
  </si>
  <si>
    <t>毕文国</t>
  </si>
  <si>
    <t>139****1600</t>
  </si>
  <si>
    <t>J085</t>
  </si>
  <si>
    <t>阴之南</t>
  </si>
  <si>
    <t>135****1986</t>
  </si>
  <si>
    <t>J086</t>
  </si>
  <si>
    <t>张美云</t>
  </si>
  <si>
    <t>176****8968</t>
  </si>
  <si>
    <t>J087</t>
  </si>
  <si>
    <t>姚冬梅</t>
  </si>
  <si>
    <t>178****3682</t>
  </si>
  <si>
    <t>J088</t>
  </si>
  <si>
    <t>王瑾伟</t>
  </si>
  <si>
    <t>159****6576</t>
  </si>
  <si>
    <t>J090</t>
  </si>
  <si>
    <t>J091</t>
  </si>
  <si>
    <t>张桂云</t>
  </si>
  <si>
    <t>135****2699</t>
  </si>
  <si>
    <t>J092</t>
  </si>
  <si>
    <t>李爱菊</t>
  </si>
  <si>
    <t>135****8850</t>
  </si>
  <si>
    <t>J093</t>
  </si>
  <si>
    <t>黄雪梅</t>
  </si>
  <si>
    <t>138****7566</t>
  </si>
  <si>
    <t>J094</t>
  </si>
  <si>
    <t>J095-1</t>
  </si>
  <si>
    <t>刘书勇</t>
  </si>
  <si>
    <t>139****0508</t>
  </si>
  <si>
    <t>J095-2</t>
  </si>
  <si>
    <t>J095-3</t>
  </si>
  <si>
    <t>J096</t>
  </si>
  <si>
    <t>郑红霞</t>
  </si>
  <si>
    <t>139****9923</t>
  </si>
  <si>
    <t>J097</t>
  </si>
  <si>
    <t>弓俊</t>
  </si>
  <si>
    <t>139****1100</t>
  </si>
  <si>
    <t>J099</t>
  </si>
  <si>
    <t>刘岩</t>
  </si>
  <si>
    <t>139****8386</t>
  </si>
  <si>
    <t>J100</t>
  </si>
  <si>
    <t>贾振英</t>
  </si>
  <si>
    <t>136****2268</t>
  </si>
  <si>
    <t>J101</t>
  </si>
  <si>
    <t>张黎明</t>
  </si>
  <si>
    <t>132****9198</t>
  </si>
  <si>
    <t>J102</t>
  </si>
  <si>
    <t>刘伟林</t>
  </si>
  <si>
    <t>137****3337</t>
  </si>
  <si>
    <t>J103</t>
  </si>
  <si>
    <t>陈跃伟</t>
  </si>
  <si>
    <t>139****6337</t>
  </si>
  <si>
    <t>J104</t>
  </si>
  <si>
    <t>刘秀英</t>
  </si>
  <si>
    <t>139****2786</t>
  </si>
  <si>
    <t>J105</t>
  </si>
  <si>
    <t>河南省恒祥房地产开发有限公司</t>
  </si>
  <si>
    <t>182****9317</t>
  </si>
  <si>
    <t>J106</t>
  </si>
  <si>
    <t>刘金生</t>
  </si>
  <si>
    <t>139****2682</t>
  </si>
  <si>
    <t>J107</t>
  </si>
  <si>
    <t>刘刚</t>
  </si>
  <si>
    <t>138****3110</t>
  </si>
  <si>
    <t>J108</t>
  </si>
  <si>
    <t>刘金玉</t>
  </si>
  <si>
    <t>136****0446</t>
  </si>
  <si>
    <t>J109</t>
  </si>
  <si>
    <t>王冬梅</t>
  </si>
  <si>
    <t>139****8629</t>
  </si>
  <si>
    <t>J110</t>
  </si>
  <si>
    <t>郁方圆</t>
  </si>
  <si>
    <t>176****6230</t>
  </si>
  <si>
    <t>J111</t>
  </si>
  <si>
    <t>张伟志</t>
  </si>
  <si>
    <t>131****3510</t>
  </si>
  <si>
    <t>J112</t>
  </si>
  <si>
    <t>郑双伟</t>
  </si>
  <si>
    <t>J113</t>
  </si>
  <si>
    <t>李东彦</t>
  </si>
  <si>
    <t>139****3728</t>
  </si>
  <si>
    <t>J114</t>
  </si>
  <si>
    <t>陈丹丹</t>
  </si>
  <si>
    <t>138****1999</t>
  </si>
  <si>
    <t>J115</t>
  </si>
  <si>
    <t>王麦兰</t>
  </si>
  <si>
    <t>138****6576</t>
  </si>
  <si>
    <t>J116</t>
  </si>
  <si>
    <t>张爱琴</t>
  </si>
  <si>
    <t>137****0184</t>
  </si>
  <si>
    <t>J117</t>
  </si>
  <si>
    <t>刘青军</t>
  </si>
  <si>
    <t>136****6926/13838293186</t>
  </si>
  <si>
    <t>J118</t>
  </si>
  <si>
    <t>曹长顺</t>
  </si>
  <si>
    <t>139****6479</t>
  </si>
  <si>
    <t>J119</t>
  </si>
  <si>
    <t>刘海顺</t>
  </si>
  <si>
    <t>139****0630</t>
  </si>
  <si>
    <t>J120</t>
  </si>
  <si>
    <t>孟小香</t>
  </si>
  <si>
    <t>198****0916</t>
  </si>
  <si>
    <t>J121</t>
  </si>
  <si>
    <t>贾元景</t>
  </si>
  <si>
    <t>132****6166</t>
  </si>
  <si>
    <t>J122</t>
  </si>
  <si>
    <t>李仙芝</t>
  </si>
  <si>
    <t>136****5368</t>
  </si>
  <si>
    <t>J123</t>
  </si>
  <si>
    <t>李照林</t>
  </si>
  <si>
    <t>139****8989</t>
  </si>
  <si>
    <t>J124</t>
  </si>
  <si>
    <t>王果果</t>
  </si>
  <si>
    <t>155****3692</t>
  </si>
  <si>
    <t>J125</t>
  </si>
  <si>
    <t>王长林</t>
  </si>
  <si>
    <t>135****2860/
138****5812</t>
  </si>
  <si>
    <t>J126</t>
  </si>
  <si>
    <t>张君伟</t>
  </si>
  <si>
    <t>135****8788</t>
  </si>
  <si>
    <t>J127</t>
  </si>
  <si>
    <t>张凯</t>
  </si>
  <si>
    <t>139****0678</t>
  </si>
  <si>
    <t>J128</t>
  </si>
  <si>
    <t>马留记</t>
  </si>
  <si>
    <t>136****1090</t>
  </si>
  <si>
    <t>J129</t>
  </si>
  <si>
    <t>王成生</t>
  </si>
  <si>
    <t>139****0597</t>
  </si>
  <si>
    <t>J130</t>
  </si>
  <si>
    <t>丁柯鑫</t>
  </si>
  <si>
    <t>155****1217</t>
  </si>
  <si>
    <t>J131</t>
  </si>
  <si>
    <t>张伟凡</t>
  </si>
  <si>
    <t>136****0707</t>
  </si>
  <si>
    <t>J132</t>
  </si>
  <si>
    <t>娄艳檬</t>
  </si>
  <si>
    <t>135****3166</t>
  </si>
  <si>
    <t>J133</t>
  </si>
  <si>
    <t>王茜楠</t>
  </si>
  <si>
    <t>139****2281</t>
  </si>
  <si>
    <t>J134</t>
  </si>
  <si>
    <t>河南庆致商贸有限公司</t>
  </si>
  <si>
    <t>156****5000</t>
  </si>
  <si>
    <t>J135</t>
  </si>
  <si>
    <t>方伟</t>
  </si>
  <si>
    <t>136****6666</t>
  </si>
  <si>
    <t>J136-1</t>
  </si>
  <si>
    <t>朱爱琴</t>
  </si>
  <si>
    <t>136****1667</t>
  </si>
  <si>
    <t>J136-2</t>
  </si>
  <si>
    <t>J137</t>
  </si>
  <si>
    <t>陈立杰</t>
  </si>
  <si>
    <t>138****4575</t>
  </si>
  <si>
    <t>J138</t>
  </si>
  <si>
    <t>王郑辉</t>
  </si>
  <si>
    <t>138****0258</t>
  </si>
  <si>
    <t>J139</t>
  </si>
  <si>
    <t>任琳</t>
  </si>
  <si>
    <t>186****7676</t>
  </si>
  <si>
    <t>J140</t>
  </si>
  <si>
    <t>陈春凤</t>
  </si>
  <si>
    <t>150****0790</t>
  </si>
  <si>
    <t>J141</t>
  </si>
  <si>
    <t>王晓辉</t>
  </si>
  <si>
    <t>136****1221</t>
  </si>
  <si>
    <t>J142</t>
  </si>
  <si>
    <t>吴瑞琦</t>
  </si>
  <si>
    <t>139****3077</t>
  </si>
  <si>
    <t>J143</t>
  </si>
  <si>
    <t>王喜臣</t>
  </si>
  <si>
    <t>139****0278</t>
  </si>
  <si>
    <t>J144</t>
  </si>
  <si>
    <t>孟金岭</t>
  </si>
  <si>
    <t>155****2225</t>
  </si>
  <si>
    <t>J145</t>
  </si>
  <si>
    <t>徐淑静</t>
  </si>
  <si>
    <t>138****9789</t>
  </si>
  <si>
    <t>J146</t>
  </si>
  <si>
    <t>孟改娣</t>
  </si>
  <si>
    <t>135****2951</t>
  </si>
  <si>
    <t>J147</t>
  </si>
  <si>
    <t>刘遂山</t>
  </si>
  <si>
    <t>138****7138</t>
  </si>
  <si>
    <t>J148</t>
  </si>
  <si>
    <t>136****1356</t>
  </si>
  <si>
    <t>J149-1</t>
  </si>
  <si>
    <t>任花平</t>
  </si>
  <si>
    <t>186****1408</t>
  </si>
  <si>
    <t>J149-2</t>
  </si>
  <si>
    <t>J150</t>
  </si>
  <si>
    <t>段富兰</t>
  </si>
  <si>
    <t>138****9778</t>
  </si>
  <si>
    <t>J151</t>
  </si>
  <si>
    <t>河南响上装饰工程有限公司</t>
  </si>
  <si>
    <t>186****5066</t>
  </si>
  <si>
    <t>J152</t>
  </si>
  <si>
    <t>189****8422</t>
  </si>
  <si>
    <t>J153</t>
  </si>
  <si>
    <t>安阳绍富商贸有限公司</t>
  </si>
  <si>
    <t>186****1409</t>
  </si>
  <si>
    <t>J154</t>
  </si>
  <si>
    <t>杨紫琰</t>
  </si>
  <si>
    <t>132****2101</t>
  </si>
  <si>
    <t>J155</t>
  </si>
  <si>
    <t>李艳艳</t>
  </si>
  <si>
    <t>139****6622</t>
  </si>
  <si>
    <t>J156</t>
  </si>
  <si>
    <t>白恒</t>
  </si>
  <si>
    <t>187****0003</t>
  </si>
  <si>
    <t>J157</t>
  </si>
  <si>
    <t>刘晓琳</t>
  </si>
  <si>
    <t>198****6000</t>
  </si>
  <si>
    <t>J158</t>
  </si>
  <si>
    <t>赵庆贺</t>
  </si>
  <si>
    <t>133****1777</t>
  </si>
  <si>
    <t>J159</t>
  </si>
  <si>
    <t>张清</t>
  </si>
  <si>
    <t>151****3575</t>
  </si>
  <si>
    <t>J160</t>
  </si>
  <si>
    <t>张永刚</t>
  </si>
  <si>
    <t>137****9159</t>
  </si>
  <si>
    <t>J161-1</t>
  </si>
  <si>
    <t>刘邵伟</t>
  </si>
  <si>
    <t>130****8029</t>
  </si>
  <si>
    <t>J161-2</t>
  </si>
  <si>
    <t>J162</t>
  </si>
  <si>
    <t>张艳红</t>
  </si>
  <si>
    <t>152****0612</t>
  </si>
  <si>
    <t>J163</t>
  </si>
  <si>
    <t>王彦来</t>
  </si>
  <si>
    <t>150****8181</t>
  </si>
  <si>
    <t>J164</t>
  </si>
  <si>
    <t>河南物华实业集团有限公司</t>
  </si>
  <si>
    <t>151****7000</t>
  </si>
  <si>
    <t>J165</t>
  </si>
  <si>
    <t>乔俊</t>
  </si>
  <si>
    <t>155****5455</t>
  </si>
  <si>
    <t>J166</t>
  </si>
  <si>
    <t>刘勇胜</t>
  </si>
  <si>
    <t>J167</t>
  </si>
  <si>
    <t>J168</t>
  </si>
  <si>
    <t>孟晓爱</t>
  </si>
  <si>
    <t>151****8998</t>
  </si>
  <si>
    <t>J169</t>
  </si>
  <si>
    <t>孟小妮</t>
  </si>
  <si>
    <t>136****2338</t>
  </si>
  <si>
    <t>J170</t>
  </si>
  <si>
    <t>王智钢</t>
  </si>
  <si>
    <t>138****3365</t>
  </si>
  <si>
    <t>J171</t>
  </si>
  <si>
    <t>张润林</t>
  </si>
  <si>
    <t>185****6699</t>
  </si>
  <si>
    <t>J172</t>
  </si>
  <si>
    <t>186****9668</t>
  </si>
  <si>
    <t>J173</t>
  </si>
  <si>
    <t>侯桂兰</t>
  </si>
  <si>
    <t>159****5371</t>
  </si>
  <si>
    <t>J174</t>
  </si>
  <si>
    <t>王长岭</t>
  </si>
  <si>
    <t>156****8860</t>
  </si>
  <si>
    <t>J175</t>
  </si>
  <si>
    <t>表4</t>
  </si>
  <si>
    <t>专项资金及村民过渡费债权确认表</t>
  </si>
  <si>
    <t>D026-1</t>
  </si>
  <si>
    <t>郑州市金水胜岗投资管理有限公司</t>
  </si>
  <si>
    <t>135****3140</t>
  </si>
  <si>
    <t>D026-2</t>
  </si>
  <si>
    <t>郑州市金水区胜岗村城中村改造项目指挥部</t>
  </si>
  <si>
    <t>159****1218</t>
  </si>
  <si>
    <t>郑州市金水区胜岗村城中村改造项目问题楼盘化解指挥部</t>
  </si>
  <si>
    <t>郑州市金水区文化路办事处关虎屯村民委员会</t>
  </si>
  <si>
    <t>138****7333</t>
  </si>
  <si>
    <t>表5</t>
  </si>
  <si>
    <t>退房债权确认表</t>
  </si>
  <si>
    <t>金额单位：人民币元</t>
  </si>
  <si>
    <t>业态</t>
  </si>
  <si>
    <t>房款总价</t>
  </si>
  <si>
    <t>审核确认债权数额</t>
  </si>
  <si>
    <t>迟延履行
利息</t>
  </si>
  <si>
    <t>其他（诉讼费）</t>
  </si>
  <si>
    <t>A0697
D011</t>
  </si>
  <si>
    <t>412922*******4226</t>
  </si>
  <si>
    <t>1-003</t>
  </si>
  <si>
    <t>不确定</t>
  </si>
  <si>
    <t>12.01</t>
  </si>
  <si>
    <t>A1245</t>
  </si>
  <si>
    <t>俞媛</t>
  </si>
  <si>
    <t>410122*******0020</t>
  </si>
  <si>
    <t>4F6-055</t>
  </si>
  <si>
    <t>商业盒子</t>
  </si>
  <si>
    <t>A1248</t>
  </si>
  <si>
    <t>张恒</t>
  </si>
  <si>
    <t>410122*******3935</t>
  </si>
  <si>
    <t>3F9-017</t>
  </si>
  <si>
    <t>A1769</t>
  </si>
  <si>
    <t>陈明李</t>
  </si>
  <si>
    <t>612327*******4812</t>
  </si>
  <si>
    <t>4F6-017</t>
  </si>
  <si>
    <t>D042</t>
  </si>
  <si>
    <t>黑园月</t>
  </si>
  <si>
    <t>410183*******2067</t>
  </si>
  <si>
    <t>2FA-125</t>
  </si>
  <si>
    <t>T001</t>
  </si>
  <si>
    <t>薛永志</t>
  </si>
  <si>
    <t>410105*******103X</t>
  </si>
  <si>
    <t>住宅</t>
  </si>
  <si>
    <t>T002</t>
  </si>
  <si>
    <t>410105*******0520</t>
  </si>
  <si>
    <t>T003</t>
  </si>
  <si>
    <t>412727*******1501</t>
  </si>
  <si>
    <t>T004</t>
  </si>
  <si>
    <t>卢翠霞</t>
  </si>
  <si>
    <t>410521*******7049</t>
  </si>
  <si>
    <t>4274和4346</t>
  </si>
  <si>
    <t>T005</t>
  </si>
  <si>
    <t>于丽霞</t>
  </si>
  <si>
    <t>410182*******0369</t>
  </si>
  <si>
    <t>3F1-083</t>
  </si>
  <si>
    <t>T006</t>
  </si>
  <si>
    <t>夏钟毓</t>
  </si>
  <si>
    <t>411102*******0186</t>
  </si>
  <si>
    <t>4FA-039</t>
  </si>
  <si>
    <t>T007</t>
  </si>
  <si>
    <t>杨彧/张娟</t>
  </si>
  <si>
    <t>410105*******1616/
410103*******3722</t>
  </si>
  <si>
    <t>T008</t>
  </si>
  <si>
    <t>魏永杰、魏佳聪</t>
  </si>
  <si>
    <t>410105*******7118/
410105*******0259</t>
  </si>
  <si>
    <t>T009</t>
  </si>
  <si>
    <t>410182*******4124</t>
  </si>
  <si>
    <t>3F9-026</t>
  </si>
  <si>
    <t>T010</t>
  </si>
  <si>
    <t>周西燕</t>
  </si>
  <si>
    <t>413026*******2726</t>
  </si>
  <si>
    <t>1F8-050</t>
  </si>
  <si>
    <t>T011</t>
  </si>
  <si>
    <t>刘兰兰</t>
  </si>
  <si>
    <t>421381*******4705</t>
  </si>
  <si>
    <t>T012</t>
  </si>
  <si>
    <t>王斌</t>
  </si>
  <si>
    <t>410104*******3519</t>
  </si>
  <si>
    <t>4FA-175</t>
  </si>
  <si>
    <t>T013</t>
  </si>
  <si>
    <t>梁朝</t>
  </si>
  <si>
    <t>410183*******2077</t>
  </si>
  <si>
    <t>1F7-071</t>
  </si>
  <si>
    <t>T014</t>
  </si>
  <si>
    <t>高继彪</t>
  </si>
  <si>
    <t>410221*******1856</t>
  </si>
  <si>
    <t>T015</t>
  </si>
  <si>
    <t>210404*******2716</t>
  </si>
  <si>
    <t>T016</t>
  </si>
  <si>
    <t>周升换</t>
  </si>
  <si>
    <t>371122*******8125</t>
  </si>
  <si>
    <t>T017</t>
  </si>
  <si>
    <t>周远航</t>
  </si>
  <si>
    <t>371122*******8113</t>
  </si>
  <si>
    <t>3F7-024</t>
  </si>
  <si>
    <t>T018</t>
  </si>
  <si>
    <t>刘春梅</t>
  </si>
  <si>
    <t>410126*******604X</t>
  </si>
  <si>
    <t>4F4-023</t>
  </si>
  <si>
    <t>16.26</t>
  </si>
  <si>
    <t>T019</t>
  </si>
  <si>
    <t>韩淑杰</t>
  </si>
  <si>
    <t>412824*******0022</t>
  </si>
  <si>
    <t>3F8-133</t>
  </si>
  <si>
    <t>T020</t>
  </si>
  <si>
    <t>胡丽平</t>
  </si>
  <si>
    <t>410102*******4524</t>
  </si>
  <si>
    <t>4F5-039</t>
  </si>
  <si>
    <t>T021</t>
  </si>
  <si>
    <t>马新芳</t>
  </si>
  <si>
    <t>410103*******2416</t>
  </si>
  <si>
    <t>T022</t>
  </si>
  <si>
    <t>郑宜红</t>
  </si>
  <si>
    <t>'34082*******54718</t>
  </si>
  <si>
    <t>4F4-058</t>
  </si>
  <si>
    <t>T023</t>
  </si>
  <si>
    <t>陆旋</t>
  </si>
  <si>
    <t>411324*******0969</t>
  </si>
  <si>
    <t>T024</t>
  </si>
  <si>
    <t>申晓丹</t>
  </si>
  <si>
    <t>410522*******0862</t>
  </si>
  <si>
    <t>3F9-063</t>
  </si>
  <si>
    <t>T025</t>
  </si>
  <si>
    <t>杨婉悦</t>
  </si>
  <si>
    <t>410102*******0106</t>
  </si>
  <si>
    <t>1F7-030</t>
  </si>
  <si>
    <t>T026</t>
  </si>
  <si>
    <t>王丁玲</t>
  </si>
  <si>
    <t>410121*******0025</t>
  </si>
  <si>
    <t>1F6-050</t>
  </si>
  <si>
    <t>T027</t>
  </si>
  <si>
    <t>赵亮、刘晶</t>
  </si>
  <si>
    <t>410102*******005X/
410103*******002X</t>
  </si>
  <si>
    <t>1F2-099</t>
  </si>
  <si>
    <t>T028</t>
  </si>
  <si>
    <t>张捷、汪若洋</t>
  </si>
  <si>
    <t>*******</t>
  </si>
  <si>
    <t>T029</t>
  </si>
  <si>
    <t>林红</t>
  </si>
  <si>
    <t>T030</t>
  </si>
  <si>
    <t>谭静、魏琪</t>
  </si>
  <si>
    <t>1F2-100</t>
  </si>
  <si>
    <t>T031</t>
  </si>
  <si>
    <t>彭婷婷</t>
  </si>
  <si>
    <t>4FA-021</t>
  </si>
  <si>
    <t>T032</t>
  </si>
  <si>
    <t>左思、马大红</t>
  </si>
  <si>
    <t>4F4-074</t>
  </si>
  <si>
    <t>T033</t>
  </si>
  <si>
    <t>王恩静</t>
  </si>
  <si>
    <t>3F8-011</t>
  </si>
  <si>
    <t>T034</t>
  </si>
  <si>
    <t>乔秋霞</t>
  </si>
  <si>
    <t>142702*******4457</t>
  </si>
  <si>
    <t>1F1-028</t>
  </si>
  <si>
    <t>T035</t>
  </si>
  <si>
    <t>高婉</t>
  </si>
  <si>
    <t>410103*******3747</t>
  </si>
  <si>
    <t>T036</t>
  </si>
  <si>
    <t>王克亮、王森森</t>
  </si>
  <si>
    <t>410221*******2711</t>
  </si>
  <si>
    <t>1F2-092</t>
  </si>
  <si>
    <t>T037</t>
  </si>
  <si>
    <t>安玮书</t>
  </si>
  <si>
    <t>410122*******0041</t>
  </si>
  <si>
    <t>1FA-017</t>
  </si>
  <si>
    <t>T038</t>
  </si>
  <si>
    <t>禹水</t>
  </si>
  <si>
    <t>410105*******0517</t>
  </si>
  <si>
    <t>1F8-032</t>
  </si>
  <si>
    <t>T039</t>
  </si>
  <si>
    <t>王阳阳</t>
  </si>
  <si>
    <t>412827*******7544</t>
  </si>
  <si>
    <t>1F8-138</t>
  </si>
  <si>
    <t>T040</t>
  </si>
  <si>
    <t>贺润萍</t>
  </si>
  <si>
    <t>410105*******8402</t>
  </si>
  <si>
    <t>T041</t>
  </si>
  <si>
    <t>常鹏辉</t>
  </si>
  <si>
    <t>410324*******0315</t>
  </si>
  <si>
    <t>1FA-115</t>
  </si>
  <si>
    <t>T042</t>
  </si>
  <si>
    <t>熊钰山</t>
  </si>
  <si>
    <t>412322*******40913</t>
  </si>
  <si>
    <t>4FA-051</t>
  </si>
  <si>
    <t>T043</t>
  </si>
  <si>
    <t>张英</t>
  </si>
  <si>
    <t>410104*******1549</t>
  </si>
  <si>
    <t>T044</t>
  </si>
  <si>
    <t>付博</t>
  </si>
  <si>
    <t>410603*******0017</t>
  </si>
  <si>
    <t>T045</t>
  </si>
  <si>
    <t>周琴</t>
  </si>
  <si>
    <t>411002*******1046</t>
  </si>
  <si>
    <t>1604和1605</t>
  </si>
  <si>
    <t>T046</t>
  </si>
  <si>
    <t>胡书伟</t>
  </si>
  <si>
    <t>410305*******5322</t>
  </si>
  <si>
    <t>1504和1505</t>
  </si>
  <si>
    <t>T047</t>
  </si>
  <si>
    <t>王浩宇</t>
  </si>
  <si>
    <t>410305*******0015</t>
  </si>
  <si>
    <t>T048</t>
  </si>
  <si>
    <t>游华平、杨代银</t>
  </si>
  <si>
    <t>510228*******0032</t>
  </si>
  <si>
    <t>1F2-074</t>
  </si>
  <si>
    <t>T049</t>
  </si>
  <si>
    <t>王宁宁</t>
  </si>
  <si>
    <t>412725*******572X</t>
  </si>
  <si>
    <t>T050</t>
  </si>
  <si>
    <t>李宝杰、张逸人</t>
  </si>
  <si>
    <t>410105*******0076</t>
  </si>
  <si>
    <t>T051</t>
  </si>
  <si>
    <t>杜丽</t>
  </si>
  <si>
    <t>413001*******6528</t>
  </si>
  <si>
    <t>4F1-084</t>
  </si>
  <si>
    <t>T052</t>
  </si>
  <si>
    <t>姜英</t>
  </si>
  <si>
    <t>370613*******0527</t>
  </si>
  <si>
    <t>1F8-174</t>
  </si>
  <si>
    <t>T053</t>
  </si>
  <si>
    <t>李华</t>
  </si>
  <si>
    <t>130929*******848X</t>
  </si>
  <si>
    <t>4F1-104</t>
  </si>
  <si>
    <t>T054</t>
  </si>
  <si>
    <t>翟伟</t>
  </si>
  <si>
    <t>410102*******003X</t>
  </si>
  <si>
    <t>3F2-001</t>
  </si>
  <si>
    <t>T055</t>
  </si>
  <si>
    <t>李世勇、钟小军</t>
  </si>
  <si>
    <t>410181*******4511/
410181*******5047</t>
  </si>
  <si>
    <t>4FA-120</t>
  </si>
  <si>
    <t>T056</t>
  </si>
  <si>
    <t>吕文明</t>
  </si>
  <si>
    <t>411423*******5593</t>
  </si>
  <si>
    <t>4F4-022</t>
  </si>
  <si>
    <t>T058</t>
  </si>
  <si>
    <t>王爱凤</t>
  </si>
  <si>
    <t>410802*******3063</t>
  </si>
  <si>
    <t>1F8-152</t>
  </si>
  <si>
    <t>T059</t>
  </si>
  <si>
    <t>梁银峰</t>
  </si>
  <si>
    <t>412726*******8434</t>
  </si>
  <si>
    <t>3F9-068</t>
  </si>
  <si>
    <t>T060</t>
  </si>
  <si>
    <t>刘国歌、王燕</t>
  </si>
  <si>
    <t>412931*******6214、410101*******4029</t>
  </si>
  <si>
    <t>1F2-089</t>
  </si>
  <si>
    <t>T061</t>
  </si>
  <si>
    <t>许香如</t>
  </si>
  <si>
    <t>412825*******2922</t>
  </si>
  <si>
    <t>3F7-041</t>
  </si>
  <si>
    <t>T062</t>
  </si>
  <si>
    <t>郭俊红</t>
  </si>
  <si>
    <t>412702*******7848</t>
  </si>
  <si>
    <t>T063</t>
  </si>
  <si>
    <t>张亚萍</t>
  </si>
  <si>
    <t>410224*******3925</t>
  </si>
  <si>
    <t>4F9-026</t>
  </si>
  <si>
    <t>T064</t>
  </si>
  <si>
    <t>翟亮亮</t>
  </si>
  <si>
    <t>410821*******6536</t>
  </si>
  <si>
    <t>3F5-082</t>
  </si>
  <si>
    <t>T065</t>
  </si>
  <si>
    <t>赵兴功</t>
  </si>
  <si>
    <t>412702*******7439</t>
  </si>
  <si>
    <t>1F2-040</t>
  </si>
  <si>
    <t>T066</t>
  </si>
  <si>
    <t>袁自心</t>
  </si>
  <si>
    <t>410505*******4991</t>
  </si>
  <si>
    <t>4F4-082</t>
  </si>
  <si>
    <t>T068</t>
  </si>
  <si>
    <t>张亚鹏</t>
  </si>
  <si>
    <t>410102*******0494</t>
  </si>
  <si>
    <t>3F8-016</t>
  </si>
  <si>
    <t>A1725</t>
  </si>
  <si>
    <t>张伟伟</t>
  </si>
  <si>
    <t>411425*******4219</t>
  </si>
  <si>
    <t>T069</t>
  </si>
  <si>
    <t>孙会娟</t>
  </si>
  <si>
    <t>410901*******2321</t>
  </si>
  <si>
    <t>3F6-075</t>
  </si>
  <si>
    <t>410503*******0513</t>
  </si>
  <si>
    <t>未选房</t>
  </si>
  <si>
    <t>表7</t>
  </si>
  <si>
    <t>税务债权确认表</t>
  </si>
  <si>
    <t>欠税种类</t>
  </si>
  <si>
    <t>税率</t>
  </si>
  <si>
    <t>申报债权数额（元）</t>
  </si>
  <si>
    <t>税款</t>
  </si>
  <si>
    <t>滞纳金</t>
  </si>
  <si>
    <t>JS001</t>
  </si>
  <si>
    <t>范文豪</t>
  </si>
  <si>
    <t>132****9681</t>
  </si>
  <si>
    <t>国家税务总局郑州市金水区税务局</t>
  </si>
  <si>
    <t>增值税</t>
  </si>
  <si>
    <t>11%、10%、9%</t>
  </si>
  <si>
    <t>城镇土地使用税</t>
  </si>
  <si>
    <t>工会经费</t>
  </si>
  <si>
    <t>教育费附加</t>
  </si>
  <si>
    <t>地方教育附加</t>
  </si>
  <si>
    <t>城市维护建设税</t>
  </si>
  <si>
    <t>残疾人就业保障金</t>
  </si>
  <si>
    <t>个人所得税</t>
  </si>
  <si>
    <t>申报总数</t>
  </si>
  <si>
    <t>确认（申报金额）(确认，确认+待确认）</t>
  </si>
  <si>
    <t>确认-确认(核实金额）</t>
  </si>
  <si>
    <t>确认-不确认（倒挤）</t>
  </si>
  <si>
    <t>确认-待确认（暂缓确认金额）</t>
  </si>
  <si>
    <t>不确认（申报金额）</t>
  </si>
  <si>
    <t>待确认（申报金额）</t>
  </si>
  <si>
    <t>验证1</t>
  </si>
  <si>
    <t>验证2</t>
  </si>
  <si>
    <t>类别</t>
  </si>
  <si>
    <t>表内验证1</t>
  </si>
  <si>
    <t>表内验证2</t>
  </si>
  <si>
    <t>表间</t>
  </si>
  <si>
    <t>退房债权</t>
  </si>
  <si>
    <t>笔数</t>
  </si>
  <si>
    <t>职工债权</t>
  </si>
  <si>
    <t>政府债权及过渡费</t>
  </si>
  <si>
    <t>金融机构借贷及担保债权</t>
  </si>
  <si>
    <t>民间借贷</t>
  </si>
  <si>
    <t>各类借贷</t>
  </si>
  <si>
    <t>工程款</t>
  </si>
  <si>
    <t>工程费用</t>
  </si>
  <si>
    <t>工程款及工程费用</t>
  </si>
  <si>
    <t>地下商铺租赁</t>
  </si>
  <si>
    <t>税务</t>
  </si>
  <si>
    <t>多交房款-商业盒子</t>
  </si>
  <si>
    <t>多交房款-住宅</t>
  </si>
  <si>
    <t>多交房款</t>
  </si>
  <si>
    <t>总计</t>
  </si>
  <si>
    <t>确认（申报金额）</t>
  </si>
  <si>
    <t>类型</t>
  </si>
  <si>
    <t>申报数量对比</t>
  </si>
  <si>
    <t>销控表金额</t>
  </si>
  <si>
    <t>销控表数量</t>
  </si>
  <si>
    <t>申报数量</t>
  </si>
  <si>
    <t>销控表没有的数量
(新增）</t>
  </si>
  <si>
    <t>已收款金额</t>
  </si>
  <si>
    <t>销控表小计</t>
  </si>
  <si>
    <t>预约保留金</t>
  </si>
  <si>
    <t>中介费
等</t>
  </si>
  <si>
    <t>其他费用</t>
  </si>
  <si>
    <t>债权本金</t>
  </si>
  <si>
    <t>迟延履行金</t>
  </si>
  <si>
    <t>诉讼费等</t>
  </si>
  <si>
    <t>申报金额小计</t>
  </si>
  <si>
    <t>核定金额小计</t>
  </si>
  <si>
    <t>差异（申报金额-核定金额）</t>
  </si>
  <si>
    <t>待核实3</t>
  </si>
  <si>
    <t>车位</t>
  </si>
  <si>
    <t>商铺</t>
  </si>
  <si>
    <t>征收项目</t>
  </si>
  <si>
    <t>细目名称</t>
  </si>
  <si>
    <t>应补税额（元）</t>
  </si>
  <si>
    <t>税款所属期起</t>
  </si>
  <si>
    <t>建筑物（11%、10%、9%、</t>
  </si>
  <si>
    <t>其他收入</t>
  </si>
  <si>
    <t>城市十地他用税等级1</t>
  </si>
  <si>
    <t>增值税教育费附加</t>
  </si>
  <si>
    <t>增值税地方教育附加</t>
  </si>
  <si>
    <t>市区 (增值税附征）</t>
  </si>
  <si>
    <t>2021-04-01</t>
  </si>
  <si>
    <t>2021-07-01</t>
  </si>
  <si>
    <t>2022-08-01</t>
  </si>
  <si>
    <t>2021-02-01</t>
  </si>
  <si>
    <t>2021-06-01</t>
  </si>
  <si>
    <t>工资薪金所得</t>
  </si>
  <si>
    <t>2022-09-01</t>
  </si>
  <si>
    <t>2022-06-01</t>
  </si>
  <si>
    <t>2022-05-01</t>
  </si>
  <si>
    <t>2022-04-01</t>
  </si>
  <si>
    <t>2022-03-01</t>
  </si>
  <si>
    <t>2022-02-01</t>
  </si>
  <si>
    <t>2022-01-01</t>
  </si>
  <si>
    <t>2021-12-01</t>
  </si>
  <si>
    <t>2021-11-01</t>
  </si>
  <si>
    <t>2021-10-01</t>
  </si>
  <si>
    <t>2021-09-01</t>
  </si>
  <si>
    <t>2021-08-01</t>
  </si>
  <si>
    <t>2021-05-01</t>
  </si>
  <si>
    <t>2021-03-01</t>
  </si>
  <si>
    <t>2021-01-01</t>
  </si>
  <si>
    <t>2020-12-01</t>
  </si>
  <si>
    <t>2020-11-01</t>
  </si>
  <si>
    <t>2020-10-01</t>
  </si>
  <si>
    <t>2020-09-01</t>
  </si>
  <si>
    <t>2020-08-01</t>
  </si>
  <si>
    <t>户数</t>
  </si>
  <si>
    <t>工程量情况需核实</t>
  </si>
  <si>
    <t>本金无异议，需计算利息、违约金后确认</t>
  </si>
  <si>
    <t>商业</t>
  </si>
  <si>
    <t>工程量情况需核实，且需计算违约金、利息</t>
  </si>
  <si>
    <t>律所审核后因无判决及合同无法确认利息和违约金的</t>
  </si>
  <si>
    <t>无须调整</t>
  </si>
  <si>
    <t>粉色</t>
  </si>
  <si>
    <t>确认后需调账</t>
  </si>
  <si>
    <t>大多涉及保证金的债权，须考虑若确认后是否要调增个人（白国法或其他关联方）应收款问题</t>
  </si>
  <si>
    <t>股东</t>
  </si>
  <si>
    <t>1、住宅中需退款为正数均有问题，需调整</t>
  </si>
  <si>
    <t>关联方</t>
  </si>
  <si>
    <t>李松涛、来关顺</t>
  </si>
  <si>
    <t>2、查找线上申报时未提供任何资料的，补录</t>
  </si>
  <si>
    <t>3、查找每个表格中核实数标粉色，后期调账</t>
  </si>
</sst>
</file>

<file path=xl/styles.xml><?xml version="1.0" encoding="utf-8"?>
<styleSheet xmlns="http://schemas.openxmlformats.org/spreadsheetml/2006/main">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m/d;@"/>
    <numFmt numFmtId="178" formatCode="0_ "/>
    <numFmt numFmtId="179" formatCode="0.00_ "/>
    <numFmt numFmtId="180" formatCode="0.00_);[Red]\(0.00\)"/>
    <numFmt numFmtId="181" formatCode="0_);[Red]\(0\)"/>
    <numFmt numFmtId="182" formatCode="0.00_);\(0.00\)"/>
  </numFmts>
  <fonts count="48">
    <font>
      <sz val="11"/>
      <color theme="1"/>
      <name val="宋体"/>
      <charset val="134"/>
      <scheme val="minor"/>
    </font>
    <font>
      <sz val="12"/>
      <name val="宋体"/>
      <charset val="134"/>
    </font>
    <font>
      <sz val="10"/>
      <name val="Arial"/>
      <charset val="134"/>
    </font>
    <font>
      <b/>
      <sz val="10"/>
      <color theme="1"/>
      <name val="仿宋"/>
      <charset val="134"/>
    </font>
    <font>
      <sz val="10"/>
      <color theme="1"/>
      <name val="仿宋"/>
      <charset val="134"/>
    </font>
    <font>
      <b/>
      <sz val="12"/>
      <color theme="1"/>
      <name val="仿宋"/>
      <charset val="134"/>
    </font>
    <font>
      <b/>
      <sz val="9"/>
      <color theme="1"/>
      <name val="仿宋"/>
      <charset val="134"/>
    </font>
    <font>
      <sz val="10"/>
      <name val="仿宋"/>
      <charset val="134"/>
    </font>
    <font>
      <b/>
      <sz val="10"/>
      <color theme="1"/>
      <name val="等线"/>
      <charset val="134"/>
    </font>
    <font>
      <b/>
      <sz val="10"/>
      <name val="等线"/>
      <charset val="134"/>
    </font>
    <font>
      <b/>
      <sz val="11"/>
      <color theme="1"/>
      <name val="宋体"/>
      <charset val="134"/>
      <scheme val="minor"/>
    </font>
    <font>
      <b/>
      <sz val="14"/>
      <color theme="1"/>
      <name val="宋体"/>
      <charset val="134"/>
      <scheme val="minor"/>
    </font>
    <font>
      <sz val="10"/>
      <color theme="1"/>
      <name val="等线"/>
      <charset val="134"/>
    </font>
    <font>
      <b/>
      <sz val="10"/>
      <name val="宋体"/>
      <charset val="134"/>
    </font>
    <font>
      <sz val="10"/>
      <name val="等线"/>
      <charset val="134"/>
    </font>
    <font>
      <sz val="10"/>
      <color rgb="FFFF0000"/>
      <name val="等线"/>
      <charset val="134"/>
    </font>
    <font>
      <sz val="11"/>
      <color theme="1"/>
      <name val="宋体"/>
      <charset val="134"/>
    </font>
    <font>
      <b/>
      <sz val="14"/>
      <color theme="1"/>
      <name val="等线"/>
      <charset val="134"/>
    </font>
    <font>
      <b/>
      <sz val="12"/>
      <name val="宋体"/>
      <charset val="134"/>
    </font>
    <font>
      <sz val="11"/>
      <name val="宋体"/>
      <charset val="134"/>
    </font>
    <font>
      <b/>
      <sz val="14"/>
      <name val="等线"/>
      <charset val="134"/>
    </font>
    <font>
      <sz val="10"/>
      <name val="宋体"/>
      <charset val="0"/>
    </font>
    <font>
      <sz val="9"/>
      <name val="宋体"/>
      <charset val="134"/>
    </font>
    <font>
      <sz val="10"/>
      <color theme="1"/>
      <name val="宋体"/>
      <charset val="134"/>
      <scheme val="minor"/>
    </font>
    <font>
      <sz val="10"/>
      <color indexed="8"/>
      <name val="等线"/>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9"/>
      <name val="宋体"/>
      <charset val="134"/>
    </font>
    <font>
      <b/>
      <sz val="9"/>
      <name val="Tahoma"/>
      <charset val="134"/>
    </font>
    <font>
      <sz val="9"/>
      <name val="宋体"/>
      <charset val="134"/>
    </font>
    <font>
      <sz val="9"/>
      <name val="Tahoma"/>
      <charset val="134"/>
    </font>
  </fonts>
  <fills count="43">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theme="9"/>
        <bgColor indexed="64"/>
      </patternFill>
    </fill>
    <fill>
      <patternFill patternType="solid">
        <fgColor theme="3" tint="0.4"/>
        <bgColor indexed="64"/>
      </patternFill>
    </fill>
    <fill>
      <patternFill patternType="solid">
        <fgColor rgb="FF00B050"/>
        <bgColor indexed="64"/>
      </patternFill>
    </fill>
    <fill>
      <patternFill patternType="solid">
        <fgColor rgb="FF92D050"/>
        <bgColor indexed="64"/>
      </patternFill>
    </fill>
    <fill>
      <patternFill patternType="solid">
        <fgColor theme="2"/>
        <bgColor indexed="64"/>
      </patternFill>
    </fill>
    <fill>
      <patternFill patternType="solid">
        <fgColor rgb="FFFFC000"/>
        <bgColor indexed="64"/>
      </patternFill>
    </fill>
    <fill>
      <patternFill patternType="solid">
        <fgColor theme="0"/>
        <bgColor indexed="64"/>
      </patternFill>
    </fill>
    <fill>
      <patternFill patternType="solid">
        <fgColor rgb="FFFF0000"/>
        <bgColor indexed="64"/>
      </patternFill>
    </fill>
    <fill>
      <patternFill patternType="solid">
        <fgColor theme="5" tint="0.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25" fillId="13" borderId="0" applyNumberFormat="0" applyBorder="0" applyAlignment="0" applyProtection="0">
      <alignment vertical="center"/>
    </xf>
    <xf numFmtId="0" fontId="26" fillId="1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15" borderId="0" applyNumberFormat="0" applyBorder="0" applyAlignment="0" applyProtection="0">
      <alignment vertical="center"/>
    </xf>
    <xf numFmtId="0" fontId="27" fillId="16" borderId="0" applyNumberFormat="0" applyBorder="0" applyAlignment="0" applyProtection="0">
      <alignment vertical="center"/>
    </xf>
    <xf numFmtId="43" fontId="0" fillId="0" borderId="0" applyFont="0" applyFill="0" applyBorder="0" applyAlignment="0" applyProtection="0">
      <alignment vertical="center"/>
    </xf>
    <xf numFmtId="0" fontId="28" fillId="17"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18" borderId="12" applyNumberFormat="0" applyFont="0" applyAlignment="0" applyProtection="0">
      <alignment vertical="center"/>
    </xf>
    <xf numFmtId="0" fontId="28" fillId="19"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3" applyNumberFormat="0" applyFill="0" applyAlignment="0" applyProtection="0">
      <alignment vertical="center"/>
    </xf>
    <xf numFmtId="0" fontId="36" fillId="0" borderId="13" applyNumberFormat="0" applyFill="0" applyAlignment="0" applyProtection="0">
      <alignment vertical="center"/>
    </xf>
    <xf numFmtId="0" fontId="28" fillId="20" borderId="0" applyNumberFormat="0" applyBorder="0" applyAlignment="0" applyProtection="0">
      <alignment vertical="center"/>
    </xf>
    <xf numFmtId="0" fontId="31" fillId="0" borderId="14" applyNumberFormat="0" applyFill="0" applyAlignment="0" applyProtection="0">
      <alignment vertical="center"/>
    </xf>
    <xf numFmtId="0" fontId="28" fillId="21" borderId="0" applyNumberFormat="0" applyBorder="0" applyAlignment="0" applyProtection="0">
      <alignment vertical="center"/>
    </xf>
    <xf numFmtId="0" fontId="37" fillId="22" borderId="15" applyNumberFormat="0" applyAlignment="0" applyProtection="0">
      <alignment vertical="center"/>
    </xf>
    <xf numFmtId="0" fontId="38" fillId="22" borderId="11" applyNumberFormat="0" applyAlignment="0" applyProtection="0">
      <alignment vertical="center"/>
    </xf>
    <xf numFmtId="0" fontId="39" fillId="23" borderId="16" applyNumberFormat="0" applyAlignment="0" applyProtection="0">
      <alignment vertical="center"/>
    </xf>
    <xf numFmtId="0" fontId="25" fillId="24" borderId="0" applyNumberFormat="0" applyBorder="0" applyAlignment="0" applyProtection="0">
      <alignment vertical="center"/>
    </xf>
    <xf numFmtId="0" fontId="28" fillId="25" borderId="0" applyNumberFormat="0" applyBorder="0" applyAlignment="0" applyProtection="0">
      <alignment vertical="center"/>
    </xf>
    <xf numFmtId="0" fontId="40" fillId="0" borderId="17" applyNumberFormat="0" applyFill="0" applyAlignment="0" applyProtection="0">
      <alignment vertical="center"/>
    </xf>
    <xf numFmtId="0" fontId="41" fillId="0" borderId="18" applyNumberFormat="0" applyFill="0" applyAlignment="0" applyProtection="0">
      <alignment vertical="center"/>
    </xf>
    <xf numFmtId="0" fontId="42" fillId="26" borderId="0" applyNumberFormat="0" applyBorder="0" applyAlignment="0" applyProtection="0">
      <alignment vertical="center"/>
    </xf>
    <xf numFmtId="0" fontId="43" fillId="27" borderId="0" applyNumberFormat="0" applyBorder="0" applyAlignment="0" applyProtection="0">
      <alignment vertical="center"/>
    </xf>
    <xf numFmtId="0" fontId="25" fillId="28" borderId="0" applyNumberFormat="0" applyBorder="0" applyAlignment="0" applyProtection="0">
      <alignment vertical="center"/>
    </xf>
    <xf numFmtId="0" fontId="28" fillId="29" borderId="0" applyNumberFormat="0" applyBorder="0" applyAlignment="0" applyProtection="0">
      <alignment vertical="center"/>
    </xf>
    <xf numFmtId="0" fontId="0" fillId="0" borderId="0">
      <alignment vertical="center"/>
    </xf>
    <xf numFmtId="0" fontId="0" fillId="0" borderId="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8" fillId="34" borderId="0" applyNumberFormat="0" applyBorder="0" applyAlignment="0" applyProtection="0">
      <alignment vertical="center"/>
    </xf>
    <xf numFmtId="0" fontId="28" fillId="35" borderId="0" applyNumberFormat="0" applyBorder="0" applyAlignment="0" applyProtection="0">
      <alignment vertical="center"/>
    </xf>
    <xf numFmtId="0" fontId="25" fillId="36" borderId="0" applyNumberFormat="0" applyBorder="0" applyAlignment="0" applyProtection="0">
      <alignment vertical="center"/>
    </xf>
    <xf numFmtId="0" fontId="25" fillId="37" borderId="0" applyNumberFormat="0" applyBorder="0" applyAlignment="0" applyProtection="0">
      <alignment vertical="center"/>
    </xf>
    <xf numFmtId="0" fontId="28" fillId="38" borderId="0" applyNumberFormat="0" applyBorder="0" applyAlignment="0" applyProtection="0">
      <alignment vertical="center"/>
    </xf>
    <xf numFmtId="0" fontId="25" fillId="39" borderId="0" applyNumberFormat="0" applyBorder="0" applyAlignment="0" applyProtection="0">
      <alignment vertical="center"/>
    </xf>
    <xf numFmtId="0" fontId="28" fillId="40" borderId="0" applyNumberFormat="0" applyBorder="0" applyAlignment="0" applyProtection="0">
      <alignment vertical="center"/>
    </xf>
    <xf numFmtId="0" fontId="28" fillId="4" borderId="0" applyNumberFormat="0" applyBorder="0" applyAlignment="0" applyProtection="0">
      <alignment vertical="center"/>
    </xf>
    <xf numFmtId="0" fontId="25" fillId="41" borderId="0" applyNumberFormat="0" applyBorder="0" applyAlignment="0" applyProtection="0">
      <alignment vertical="center"/>
    </xf>
    <xf numFmtId="0" fontId="28" fillId="42" borderId="0" applyNumberFormat="0" applyBorder="0" applyAlignment="0" applyProtection="0">
      <alignment vertical="center"/>
    </xf>
  </cellStyleXfs>
  <cellXfs count="546">
    <xf numFmtId="0" fontId="0" fillId="0" borderId="0" xfId="0">
      <alignment vertical="center"/>
    </xf>
    <xf numFmtId="0" fontId="0" fillId="0" borderId="0" xfId="0" applyAlignment="1">
      <alignment horizontal="center" vertical="center"/>
    </xf>
    <xf numFmtId="176" fontId="0" fillId="0" borderId="0" xfId="0" applyNumberFormat="1">
      <alignment vertical="center"/>
    </xf>
    <xf numFmtId="0" fontId="0" fillId="2" borderId="0" xfId="0" applyFill="1">
      <alignment vertical="center"/>
    </xf>
    <xf numFmtId="0" fontId="1" fillId="0" borderId="0" xfId="0" applyFont="1" applyFill="1" applyBorder="1" applyAlignment="1">
      <alignment vertical="center"/>
    </xf>
    <xf numFmtId="176" fontId="1" fillId="0" borderId="0" xfId="0" applyNumberFormat="1" applyFont="1" applyFill="1" applyBorder="1" applyAlignment="1">
      <alignment horizontal="center" vertical="center"/>
    </xf>
    <xf numFmtId="177" fontId="1" fillId="0" borderId="0" xfId="0" applyNumberFormat="1" applyFont="1" applyFill="1" applyBorder="1" applyAlignment="1">
      <alignment vertical="center"/>
    </xf>
    <xf numFmtId="176" fontId="1" fillId="0" borderId="0" xfId="0" applyNumberFormat="1" applyFont="1" applyFill="1" applyBorder="1" applyAlignment="1">
      <alignment horizontal="right" vertical="center"/>
    </xf>
    <xf numFmtId="176" fontId="1" fillId="0" borderId="0" xfId="0" applyNumberFormat="1" applyFont="1" applyFill="1" applyBorder="1" applyAlignment="1">
      <alignment vertical="center"/>
    </xf>
    <xf numFmtId="0" fontId="1" fillId="0" borderId="0" xfId="0" applyFont="1" applyFill="1" applyBorder="1" applyAlignment="1">
      <alignment horizontal="center" vertical="center"/>
    </xf>
    <xf numFmtId="177" fontId="1" fillId="0" borderId="0" xfId="0" applyNumberFormat="1" applyFont="1" applyFill="1" applyBorder="1" applyAlignment="1">
      <alignment horizontal="left" vertical="center" indent="1"/>
    </xf>
    <xf numFmtId="176" fontId="1" fillId="0" borderId="0" xfId="0" applyNumberFormat="1" applyFont="1" applyFill="1" applyBorder="1" applyAlignment="1">
      <alignment horizontal="right" vertical="center" wrapText="1"/>
    </xf>
    <xf numFmtId="0" fontId="1" fillId="0" borderId="0" xfId="0" applyFont="1" applyFill="1" applyBorder="1" applyAlignment="1">
      <alignment horizontal="justify" vertical="center"/>
    </xf>
    <xf numFmtId="177" fontId="1" fillId="0" borderId="0" xfId="0" applyNumberFormat="1" applyFont="1" applyFill="1" applyBorder="1" applyAlignment="1">
      <alignment horizontal="left" vertical="center"/>
    </xf>
    <xf numFmtId="0" fontId="1" fillId="0" borderId="0" xfId="0" applyNumberFormat="1" applyFont="1" applyFill="1" applyBorder="1" applyAlignment="1">
      <alignment horizontal="justify" vertical="center"/>
    </xf>
    <xf numFmtId="0" fontId="1" fillId="0" borderId="0" xfId="0" applyFont="1" applyFill="1" applyBorder="1" applyAlignment="1">
      <alignment horizontal="left" vertical="center"/>
    </xf>
    <xf numFmtId="0" fontId="1" fillId="0" borderId="0" xfId="0" applyFont="1" applyFill="1" applyBorder="1" applyAlignment="1">
      <alignment vertical="center" wrapText="1"/>
    </xf>
    <xf numFmtId="0" fontId="1" fillId="0" borderId="0" xfId="0" applyNumberFormat="1" applyFont="1" applyFill="1" applyBorder="1" applyAlignment="1">
      <alignment horizontal="left" vertical="center"/>
    </xf>
    <xf numFmtId="0" fontId="2" fillId="0" borderId="0" xfId="0" applyFont="1" applyFill="1" applyAlignment="1">
      <alignment vertical="center"/>
    </xf>
    <xf numFmtId="177" fontId="1" fillId="0" borderId="0" xfId="0" applyNumberFormat="1" applyFont="1" applyFill="1" applyBorder="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right" vertical="center" shrinkToFit="1"/>
    </xf>
    <xf numFmtId="0" fontId="4" fillId="0" borderId="0" xfId="0" applyFont="1" applyAlignment="1">
      <alignment horizontal="right" vertical="center"/>
    </xf>
    <xf numFmtId="0" fontId="3" fillId="0" borderId="0" xfId="0" applyFont="1" applyAlignment="1">
      <alignment horizontal="right" vertical="center" shrinkToFit="1"/>
    </xf>
    <xf numFmtId="0" fontId="4" fillId="0" borderId="0" xfId="0" applyFont="1" applyAlignment="1">
      <alignment horizontal="left" vertical="center"/>
    </xf>
    <xf numFmtId="0" fontId="4" fillId="0" borderId="0" xfId="0" applyFont="1" applyAlignment="1">
      <alignment horizontal="center" vertical="center"/>
    </xf>
    <xf numFmtId="176" fontId="4" fillId="0" borderId="0" xfId="0" applyNumberFormat="1" applyFont="1" applyAlignment="1">
      <alignment horizontal="center" vertical="center"/>
    </xf>
    <xf numFmtId="0" fontId="3" fillId="0" borderId="1" xfId="0" applyFont="1" applyBorder="1" applyAlignment="1">
      <alignment horizontal="center"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176" fontId="5" fillId="3" borderId="2" xfId="0" applyNumberFormat="1" applyFont="1" applyFill="1" applyBorder="1" applyAlignment="1">
      <alignment horizontal="center" vertical="center"/>
    </xf>
    <xf numFmtId="176" fontId="5" fillId="3" borderId="3" xfId="0" applyNumberFormat="1" applyFont="1" applyFill="1" applyBorder="1" applyAlignment="1">
      <alignment horizontal="center"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6" fillId="0" borderId="6" xfId="0" applyFont="1" applyBorder="1" applyAlignment="1">
      <alignment horizontal="center" vertical="center" wrapText="1" shrinkToFit="1"/>
    </xf>
    <xf numFmtId="176" fontId="3" fillId="0" borderId="6" xfId="0" applyNumberFormat="1" applyFont="1" applyBorder="1" applyAlignment="1">
      <alignment horizontal="center" vertical="center" wrapText="1" shrinkToFit="1"/>
    </xf>
    <xf numFmtId="0" fontId="4" fillId="0" borderId="6" xfId="0" applyFont="1" applyBorder="1" applyAlignment="1">
      <alignment horizontal="center" vertical="center" shrinkToFit="1"/>
    </xf>
    <xf numFmtId="176" fontId="4" fillId="0" borderId="6" xfId="0" applyNumberFormat="1" applyFont="1" applyBorder="1" applyAlignment="1">
      <alignment horizontal="right" vertical="center" shrinkToFit="1"/>
    </xf>
    <xf numFmtId="0" fontId="4" fillId="0" borderId="6" xfId="0" applyFont="1" applyBorder="1" applyAlignment="1">
      <alignment horizontal="center" vertical="center"/>
    </xf>
    <xf numFmtId="0" fontId="7" fillId="0" borderId="6" xfId="0" applyFont="1" applyBorder="1" applyAlignment="1">
      <alignment horizontal="center" vertical="center"/>
    </xf>
    <xf numFmtId="176" fontId="4" fillId="0" borderId="6" xfId="0" applyNumberFormat="1" applyFont="1" applyBorder="1" applyAlignment="1">
      <alignment horizontal="right" vertical="center"/>
    </xf>
    <xf numFmtId="0" fontId="3" fillId="0" borderId="6" xfId="0" applyFont="1" applyBorder="1" applyAlignment="1">
      <alignment horizontal="center" vertical="center" shrinkToFit="1"/>
    </xf>
    <xf numFmtId="176" fontId="3" fillId="0" borderId="6" xfId="0" applyNumberFormat="1" applyFont="1" applyBorder="1" applyAlignment="1">
      <alignment horizontal="right" vertical="center" shrinkToFit="1"/>
    </xf>
    <xf numFmtId="176" fontId="5" fillId="4" borderId="2" xfId="0" applyNumberFormat="1" applyFont="1" applyFill="1" applyBorder="1" applyAlignment="1">
      <alignment horizontal="center" vertical="center"/>
    </xf>
    <xf numFmtId="176" fontId="5" fillId="4" borderId="3" xfId="0" applyNumberFormat="1" applyFont="1" applyFill="1" applyBorder="1" applyAlignment="1">
      <alignment horizontal="center" vertical="center"/>
    </xf>
    <xf numFmtId="176" fontId="8" fillId="0" borderId="6" xfId="0" applyNumberFormat="1" applyFont="1" applyFill="1" applyBorder="1" applyAlignment="1">
      <alignment horizontal="center" vertical="center" wrapText="1"/>
    </xf>
    <xf numFmtId="176" fontId="8" fillId="0" borderId="6" xfId="36" applyNumberFormat="1" applyFont="1" applyFill="1" applyBorder="1" applyAlignment="1">
      <alignment horizontal="center" vertical="center" wrapText="1"/>
    </xf>
    <xf numFmtId="176" fontId="4" fillId="0" borderId="6" xfId="0" applyNumberFormat="1" applyFont="1" applyFill="1" applyBorder="1" applyAlignment="1">
      <alignment horizontal="right" vertical="center" shrinkToFit="1"/>
    </xf>
    <xf numFmtId="0" fontId="8" fillId="0" borderId="6" xfId="0" applyFont="1" applyFill="1" applyBorder="1" applyAlignment="1">
      <alignment horizontal="center" vertical="center" wrapText="1"/>
    </xf>
    <xf numFmtId="176" fontId="9" fillId="0" borderId="6" xfId="0" applyNumberFormat="1" applyFont="1" applyFill="1" applyBorder="1" applyAlignment="1" applyProtection="1">
      <alignment horizontal="center" vertical="center"/>
      <protection locked="0"/>
    </xf>
    <xf numFmtId="176" fontId="9" fillId="0" borderId="6" xfId="0" applyNumberFormat="1" applyFont="1" applyFill="1" applyBorder="1" applyAlignment="1" applyProtection="1">
      <alignment horizontal="center" vertical="center" wrapText="1"/>
      <protection locked="0"/>
    </xf>
    <xf numFmtId="176" fontId="5" fillId="4" borderId="4" xfId="0" applyNumberFormat="1" applyFont="1" applyFill="1" applyBorder="1" applyAlignment="1">
      <alignment horizontal="center" vertical="center"/>
    </xf>
    <xf numFmtId="176" fontId="3" fillId="5" borderId="6" xfId="0" applyNumberFormat="1" applyFont="1" applyFill="1" applyBorder="1" applyAlignment="1">
      <alignment horizontal="center" vertical="center"/>
    </xf>
    <xf numFmtId="176" fontId="3" fillId="0" borderId="6" xfId="0" applyNumberFormat="1" applyFont="1" applyFill="1" applyBorder="1" applyAlignment="1">
      <alignment horizontal="center" vertical="center" wrapText="1"/>
    </xf>
    <xf numFmtId="176" fontId="3" fillId="0" borderId="6" xfId="0" applyNumberFormat="1" applyFont="1" applyBorder="1" applyAlignment="1">
      <alignment horizontal="center" vertical="center" wrapText="1"/>
    </xf>
    <xf numFmtId="176" fontId="3" fillId="0" borderId="6" xfId="0" applyNumberFormat="1" applyFont="1" applyBorder="1" applyAlignment="1">
      <alignment horizontal="center" vertical="center" shrinkToFit="1"/>
    </xf>
    <xf numFmtId="176" fontId="0" fillId="2" borderId="0" xfId="0" applyNumberFormat="1" applyFill="1">
      <alignment vertical="center"/>
    </xf>
    <xf numFmtId="0" fontId="0" fillId="0" borderId="0" xfId="0" applyFill="1">
      <alignment vertical="center"/>
    </xf>
    <xf numFmtId="176" fontId="0" fillId="0" borderId="6" xfId="0" applyNumberFormat="1" applyFill="1" applyBorder="1" applyAlignment="1">
      <alignment horizontal="center" vertical="center"/>
    </xf>
    <xf numFmtId="0" fontId="0" fillId="0" borderId="6" xfId="0" applyBorder="1">
      <alignment vertical="center"/>
    </xf>
    <xf numFmtId="176" fontId="0" fillId="2" borderId="6" xfId="0" applyNumberFormat="1" applyFill="1" applyBorder="1" applyAlignment="1">
      <alignment horizontal="center" vertical="center"/>
    </xf>
    <xf numFmtId="0" fontId="0" fillId="0" borderId="1" xfId="0" applyBorder="1" applyAlignment="1">
      <alignment horizontal="center" vertical="center"/>
    </xf>
    <xf numFmtId="0" fontId="0" fillId="6" borderId="6" xfId="0" applyFill="1" applyBorder="1" applyAlignment="1">
      <alignment horizontal="center" vertical="center"/>
    </xf>
    <xf numFmtId="176" fontId="0" fillId="0" borderId="6" xfId="0" applyNumberFormat="1" applyBorder="1">
      <alignment vertical="center"/>
    </xf>
    <xf numFmtId="0" fontId="0" fillId="0" borderId="5" xfId="0" applyBorder="1" applyAlignment="1">
      <alignment horizontal="center" vertical="center"/>
    </xf>
    <xf numFmtId="0" fontId="0" fillId="2" borderId="6" xfId="0" applyFill="1" applyBorder="1" applyAlignment="1">
      <alignment horizontal="center" vertical="center"/>
    </xf>
    <xf numFmtId="0" fontId="0" fillId="0" borderId="6" xfId="0" applyBorder="1" applyAlignment="1">
      <alignment horizontal="center" vertical="center"/>
    </xf>
    <xf numFmtId="0" fontId="0" fillId="0" borderId="6" xfId="0" applyFill="1" applyBorder="1" applyAlignment="1">
      <alignment horizontal="center" vertical="center"/>
    </xf>
    <xf numFmtId="0" fontId="0" fillId="0" borderId="6" xfId="0" applyFill="1" applyBorder="1">
      <alignment vertical="center"/>
    </xf>
    <xf numFmtId="176" fontId="0" fillId="0" borderId="6" xfId="0" applyNumberFormat="1" applyFill="1" applyBorder="1">
      <alignment vertical="center"/>
    </xf>
    <xf numFmtId="176" fontId="0" fillId="0" borderId="0" xfId="0" applyNumberFormat="1" applyFill="1">
      <alignment vertical="center"/>
    </xf>
    <xf numFmtId="0" fontId="10" fillId="0" borderId="0" xfId="0" applyFont="1" applyAlignment="1">
      <alignment horizontal="center" vertical="center"/>
    </xf>
    <xf numFmtId="0" fontId="0" fillId="0" borderId="0" xfId="0" applyFont="1" applyAlignment="1">
      <alignment horizontal="center" vertical="center"/>
    </xf>
    <xf numFmtId="176" fontId="0" fillId="0" borderId="0" xfId="0" applyNumberFormat="1" applyFont="1" applyAlignment="1">
      <alignment horizontal="center" vertical="center"/>
    </xf>
    <xf numFmtId="0" fontId="11" fillId="0" borderId="0" xfId="0" applyFont="1" applyAlignment="1">
      <alignment horizontal="center" vertical="center"/>
    </xf>
    <xf numFmtId="0" fontId="10" fillId="0" borderId="1" xfId="0" applyFont="1" applyBorder="1" applyAlignment="1">
      <alignment horizontal="center" vertical="center"/>
    </xf>
    <xf numFmtId="0" fontId="8" fillId="0" borderId="1" xfId="0" applyFont="1" applyBorder="1" applyAlignment="1">
      <alignment horizontal="center" vertical="center"/>
    </xf>
    <xf numFmtId="176" fontId="10" fillId="0" borderId="6" xfId="0" applyNumberFormat="1" applyFont="1" applyBorder="1" applyAlignment="1">
      <alignment horizontal="center" vertical="center"/>
    </xf>
    <xf numFmtId="0" fontId="10" fillId="0" borderId="5" xfId="0" applyFont="1" applyBorder="1" applyAlignment="1">
      <alignment horizontal="center" vertical="center"/>
    </xf>
    <xf numFmtId="0" fontId="8" fillId="0" borderId="5" xfId="0" applyFont="1" applyBorder="1" applyAlignment="1">
      <alignment horizontal="center" vertical="center"/>
    </xf>
    <xf numFmtId="0" fontId="0" fillId="0" borderId="6" xfId="0" applyFont="1" applyBorder="1" applyAlignment="1">
      <alignment horizontal="center" vertical="center"/>
    </xf>
    <xf numFmtId="0" fontId="12" fillId="0" borderId="6" xfId="0" applyFont="1" applyBorder="1" applyAlignment="1">
      <alignment horizontal="center" vertical="center"/>
    </xf>
    <xf numFmtId="176" fontId="0" fillId="0" borderId="6" xfId="0" applyNumberFormat="1" applyFont="1" applyBorder="1" applyAlignment="1">
      <alignment horizontal="center" vertical="center"/>
    </xf>
    <xf numFmtId="0" fontId="0" fillId="0" borderId="6" xfId="0" applyFont="1" applyBorder="1" applyAlignment="1">
      <alignment horizontal="center" vertical="center" wrapText="1"/>
    </xf>
    <xf numFmtId="9" fontId="0" fillId="0" borderId="6" xfId="0" applyNumberFormat="1" applyFont="1" applyBorder="1" applyAlignment="1">
      <alignment horizontal="center" vertical="center"/>
    </xf>
    <xf numFmtId="0" fontId="10" fillId="0" borderId="6" xfId="0" applyFont="1" applyBorder="1" applyAlignment="1">
      <alignment horizontal="center" vertical="center"/>
    </xf>
    <xf numFmtId="176" fontId="8" fillId="0" borderId="6" xfId="0" applyNumberFormat="1" applyFont="1" applyBorder="1" applyAlignment="1">
      <alignment horizontal="center" vertical="center"/>
    </xf>
    <xf numFmtId="0" fontId="13" fillId="0" borderId="6" xfId="0" applyFont="1" applyFill="1" applyBorder="1" applyAlignment="1">
      <alignment horizontal="center" vertical="center" wrapText="1"/>
    </xf>
    <xf numFmtId="176" fontId="0" fillId="0" borderId="6" xfId="0" applyNumberFormat="1" applyFont="1" applyFill="1" applyBorder="1" applyAlignment="1">
      <alignment horizontal="center" vertical="center"/>
    </xf>
    <xf numFmtId="0" fontId="8" fillId="0" borderId="0" xfId="0" applyFont="1" applyFill="1" applyAlignment="1">
      <alignment horizontal="center" vertical="center" wrapText="1"/>
    </xf>
    <xf numFmtId="0" fontId="14" fillId="0" borderId="0" xfId="0" applyFont="1" applyFill="1" applyBorder="1" applyAlignment="1">
      <alignment horizontal="center" vertical="center"/>
    </xf>
    <xf numFmtId="0" fontId="14" fillId="0" borderId="0" xfId="0" applyFont="1" applyFill="1">
      <alignment vertical="center"/>
    </xf>
    <xf numFmtId="0" fontId="15" fillId="0" borderId="0" xfId="0" applyFont="1" applyFill="1">
      <alignment vertical="center"/>
    </xf>
    <xf numFmtId="0" fontId="16" fillId="0" borderId="0" xfId="0" applyFont="1" applyFill="1" applyBorder="1" applyAlignment="1">
      <alignment horizontal="center" vertical="center"/>
    </xf>
    <xf numFmtId="0" fontId="12" fillId="0" borderId="0" xfId="0" applyFont="1" applyFill="1">
      <alignment vertical="center"/>
    </xf>
    <xf numFmtId="0" fontId="12" fillId="0" borderId="0" xfId="0" applyFont="1" applyFill="1" applyBorder="1" applyAlignment="1">
      <alignment horizontal="center" vertical="center"/>
    </xf>
    <xf numFmtId="0" fontId="12" fillId="0" borderId="0" xfId="0" applyFont="1" applyFill="1" applyAlignment="1">
      <alignment horizontal="center" vertical="center"/>
    </xf>
    <xf numFmtId="49" fontId="12" fillId="0" borderId="0" xfId="0" applyNumberFormat="1" applyFont="1" applyFill="1">
      <alignment vertical="center"/>
    </xf>
    <xf numFmtId="176" fontId="12" fillId="0" borderId="0" xfId="0" applyNumberFormat="1" applyFont="1" applyFill="1" applyAlignment="1">
      <alignment horizontal="center" vertical="center"/>
    </xf>
    <xf numFmtId="176" fontId="12" fillId="0" borderId="0" xfId="0" applyNumberFormat="1" applyFont="1" applyFill="1">
      <alignment vertical="center"/>
    </xf>
    <xf numFmtId="177" fontId="12" fillId="0" borderId="0" xfId="0" applyNumberFormat="1" applyFont="1" applyFill="1">
      <alignment vertical="center"/>
    </xf>
    <xf numFmtId="0" fontId="17" fillId="0" borderId="0" xfId="0" applyFont="1" applyFill="1" applyAlignment="1">
      <alignment horizontal="center" vertical="center"/>
    </xf>
    <xf numFmtId="49" fontId="8" fillId="0" borderId="6" xfId="0" applyNumberFormat="1" applyFont="1" applyFill="1" applyBorder="1" applyAlignment="1">
      <alignment horizontal="center" vertical="center" wrapText="1"/>
    </xf>
    <xf numFmtId="0" fontId="8" fillId="0" borderId="6" xfId="0" applyNumberFormat="1" applyFont="1" applyFill="1" applyBorder="1" applyAlignment="1">
      <alignment horizontal="center" vertical="center" wrapText="1"/>
    </xf>
    <xf numFmtId="0" fontId="14" fillId="0" borderId="6" xfId="0" applyFont="1" applyFill="1" applyBorder="1" applyAlignment="1">
      <alignment horizontal="center" vertical="center"/>
    </xf>
    <xf numFmtId="0" fontId="14" fillId="0" borderId="6" xfId="0" applyFont="1" applyFill="1" applyBorder="1" applyAlignment="1">
      <alignment horizontal="center" vertical="center" wrapText="1"/>
    </xf>
    <xf numFmtId="49" fontId="14" fillId="0" borderId="6" xfId="0" applyNumberFormat="1" applyFont="1" applyFill="1" applyBorder="1" applyAlignment="1">
      <alignment horizontal="left" vertical="center" wrapText="1"/>
    </xf>
    <xf numFmtId="0" fontId="14" fillId="0" borderId="6" xfId="0" applyNumberFormat="1" applyFont="1" applyFill="1" applyBorder="1" applyAlignment="1">
      <alignment horizontal="center" vertical="center"/>
    </xf>
    <xf numFmtId="178" fontId="14" fillId="0" borderId="6" xfId="0" applyNumberFormat="1" applyFont="1" applyFill="1" applyBorder="1" applyAlignment="1">
      <alignment horizontal="center" vertical="center"/>
    </xf>
    <xf numFmtId="0" fontId="14" fillId="0" borderId="6" xfId="0" applyNumberFormat="1" applyFont="1" applyFill="1" applyBorder="1" applyAlignment="1" applyProtection="1">
      <alignment horizontal="center" vertical="center" wrapText="1"/>
    </xf>
    <xf numFmtId="0" fontId="14" fillId="0" borderId="6" xfId="0" applyNumberFormat="1" applyFont="1" applyFill="1" applyBorder="1" applyAlignment="1" applyProtection="1">
      <alignment horizontal="left" vertical="center" wrapText="1"/>
    </xf>
    <xf numFmtId="0" fontId="14" fillId="0" borderId="6" xfId="0" applyNumberFormat="1" applyFont="1" applyFill="1" applyBorder="1" applyAlignment="1" applyProtection="1">
      <alignment horizontal="center" vertical="center"/>
    </xf>
    <xf numFmtId="178" fontId="14" fillId="0" borderId="6" xfId="0" applyNumberFormat="1" applyFont="1" applyFill="1" applyBorder="1" applyAlignment="1">
      <alignment horizontal="right" vertical="center"/>
    </xf>
    <xf numFmtId="0" fontId="12" fillId="0" borderId="6" xfId="0" applyFont="1" applyFill="1" applyBorder="1" applyAlignment="1">
      <alignment horizontal="center" vertical="center"/>
    </xf>
    <xf numFmtId="179" fontId="14" fillId="0" borderId="6" xfId="0" applyNumberFormat="1" applyFont="1" applyFill="1" applyBorder="1" applyAlignment="1" applyProtection="1">
      <alignment horizontal="center" vertical="center"/>
    </xf>
    <xf numFmtId="0" fontId="14" fillId="0" borderId="6" xfId="0" applyFont="1" applyFill="1" applyBorder="1" applyAlignment="1">
      <alignment horizontal="right" vertical="center"/>
    </xf>
    <xf numFmtId="0" fontId="14" fillId="0" borderId="6" xfId="0" applyNumberFormat="1" applyFont="1" applyFill="1" applyBorder="1" applyAlignment="1">
      <alignment horizontal="right" vertical="center"/>
    </xf>
    <xf numFmtId="49" fontId="14" fillId="0" borderId="6" xfId="0" applyNumberFormat="1" applyFont="1" applyFill="1" applyBorder="1" applyAlignment="1">
      <alignment horizontal="left" vertical="center"/>
    </xf>
    <xf numFmtId="0" fontId="14" fillId="0" borderId="6" xfId="0" applyFont="1" applyFill="1" applyBorder="1">
      <alignment vertical="center"/>
    </xf>
    <xf numFmtId="178" fontId="14" fillId="0" borderId="6" xfId="0" applyNumberFormat="1" applyFont="1" applyFill="1" applyBorder="1" applyAlignment="1" applyProtection="1">
      <alignment horizontal="center" vertical="center"/>
    </xf>
    <xf numFmtId="180" fontId="14" fillId="0" borderId="6" xfId="0" applyNumberFormat="1" applyFont="1" applyFill="1" applyBorder="1" applyAlignment="1" applyProtection="1">
      <alignment horizontal="center" vertical="center"/>
    </xf>
    <xf numFmtId="0" fontId="14" fillId="0" borderId="6" xfId="0" applyNumberFormat="1" applyFont="1" applyFill="1" applyBorder="1">
      <alignment vertical="center"/>
    </xf>
    <xf numFmtId="0" fontId="18" fillId="0" borderId="6" xfId="0" applyFont="1" applyFill="1" applyBorder="1" applyAlignment="1">
      <alignment horizontal="center" vertical="center"/>
    </xf>
    <xf numFmtId="176" fontId="8" fillId="0" borderId="1" xfId="0" applyNumberFormat="1" applyFont="1" applyFill="1" applyBorder="1" applyAlignment="1">
      <alignment horizontal="center" vertical="center"/>
    </xf>
    <xf numFmtId="176" fontId="8" fillId="0" borderId="6" xfId="0" applyNumberFormat="1" applyFont="1" applyFill="1" applyBorder="1" applyAlignment="1">
      <alignment horizontal="center" vertical="center"/>
    </xf>
    <xf numFmtId="176" fontId="8" fillId="0" borderId="5" xfId="0" applyNumberFormat="1" applyFont="1" applyFill="1" applyBorder="1" applyAlignment="1">
      <alignment horizontal="center" vertical="center"/>
    </xf>
    <xf numFmtId="177" fontId="8" fillId="0" borderId="0" xfId="0" applyNumberFormat="1" applyFont="1" applyFill="1" applyAlignment="1">
      <alignment horizontal="center" vertical="center"/>
    </xf>
    <xf numFmtId="176" fontId="14" fillId="0" borderId="6" xfId="0" applyNumberFormat="1" applyFont="1" applyFill="1" applyBorder="1" applyAlignment="1">
      <alignment horizontal="center" vertical="center"/>
    </xf>
    <xf numFmtId="176" fontId="14" fillId="0" borderId="6" xfId="0" applyNumberFormat="1" applyFont="1" applyFill="1" applyBorder="1">
      <alignment vertical="center"/>
    </xf>
    <xf numFmtId="177" fontId="12" fillId="0" borderId="0" xfId="0" applyNumberFormat="1" applyFont="1" applyFill="1" applyBorder="1">
      <alignment vertical="center"/>
    </xf>
    <xf numFmtId="176" fontId="12" fillId="0" borderId="6" xfId="0" applyNumberFormat="1" applyFont="1" applyFill="1" applyBorder="1" applyAlignment="1">
      <alignment horizontal="right" vertical="center"/>
    </xf>
    <xf numFmtId="176" fontId="12" fillId="0" borderId="6" xfId="0" applyNumberFormat="1" applyFont="1" applyFill="1" applyBorder="1" applyAlignment="1">
      <alignment horizontal="center" vertical="center"/>
    </xf>
    <xf numFmtId="176" fontId="12" fillId="0" borderId="6" xfId="0" applyNumberFormat="1" applyFont="1" applyFill="1" applyBorder="1">
      <alignment vertical="center"/>
    </xf>
    <xf numFmtId="177" fontId="14" fillId="0" borderId="0" xfId="0" applyNumberFormat="1" applyFont="1" applyFill="1" applyBorder="1">
      <alignment vertical="center"/>
    </xf>
    <xf numFmtId="177" fontId="14" fillId="0" borderId="0" xfId="0" applyNumberFormat="1" applyFont="1" applyFill="1">
      <alignment vertical="center"/>
    </xf>
    <xf numFmtId="176" fontId="12" fillId="0" borderId="0" xfId="0" applyNumberFormat="1" applyFont="1" applyFill="1" applyBorder="1" applyAlignment="1">
      <alignment horizontal="center" vertical="center"/>
    </xf>
    <xf numFmtId="176" fontId="14" fillId="0" borderId="0" xfId="0" applyNumberFormat="1" applyFont="1" applyFill="1" applyBorder="1" applyAlignment="1">
      <alignment horizontal="center" vertical="center"/>
    </xf>
    <xf numFmtId="0" fontId="19" fillId="0" borderId="6" xfId="0" applyNumberFormat="1" applyFont="1" applyFill="1" applyBorder="1" applyAlignment="1" applyProtection="1">
      <alignment horizontal="center" vertical="center" wrapText="1"/>
    </xf>
    <xf numFmtId="0" fontId="19" fillId="0" borderId="6" xfId="0" applyNumberFormat="1" applyFont="1" applyFill="1" applyBorder="1" applyAlignment="1" applyProtection="1">
      <alignment horizontal="center" vertical="center"/>
    </xf>
    <xf numFmtId="179" fontId="16" fillId="0" borderId="6" xfId="0" applyNumberFormat="1" applyFont="1" applyFill="1" applyBorder="1" applyAlignment="1" applyProtection="1">
      <alignment horizontal="center" vertical="center"/>
    </xf>
    <xf numFmtId="0" fontId="16" fillId="0" borderId="6" xfId="0" applyFont="1" applyFill="1" applyBorder="1" applyAlignment="1">
      <alignment horizontal="center" vertical="center"/>
    </xf>
    <xf numFmtId="0" fontId="19" fillId="0" borderId="6" xfId="0" applyFont="1" applyFill="1" applyBorder="1" applyAlignment="1">
      <alignment horizontal="center" vertical="center"/>
    </xf>
    <xf numFmtId="179" fontId="19" fillId="0" borderId="6" xfId="0" applyNumberFormat="1" applyFont="1" applyFill="1" applyBorder="1" applyAlignment="1" applyProtection="1">
      <alignment horizontal="center" vertical="center"/>
    </xf>
    <xf numFmtId="176" fontId="16" fillId="0" borderId="6" xfId="0" applyNumberFormat="1" applyFont="1" applyFill="1" applyBorder="1" applyAlignment="1">
      <alignment horizontal="right" vertical="center"/>
    </xf>
    <xf numFmtId="0" fontId="8" fillId="0" borderId="0" xfId="0" applyFont="1" applyFill="1">
      <alignment vertical="center"/>
    </xf>
    <xf numFmtId="0" fontId="8" fillId="0" borderId="0" xfId="0" applyFont="1" applyFill="1" applyAlignment="1">
      <alignment horizontal="center" vertical="center"/>
    </xf>
    <xf numFmtId="0" fontId="14" fillId="0" borderId="0" xfId="0" applyFont="1" applyFill="1" applyAlignment="1">
      <alignment horizontal="center" vertical="center"/>
    </xf>
    <xf numFmtId="0" fontId="12" fillId="0" borderId="0" xfId="0" applyFont="1" applyFill="1" applyAlignment="1">
      <alignment horizontal="center" vertical="center" wrapText="1"/>
    </xf>
    <xf numFmtId="0" fontId="8" fillId="0" borderId="6" xfId="0" applyFont="1" applyFill="1" applyBorder="1" applyAlignment="1">
      <alignment horizontal="center" vertical="center"/>
    </xf>
    <xf numFmtId="0" fontId="9" fillId="0" borderId="6" xfId="0" applyFont="1" applyFill="1" applyBorder="1" applyAlignment="1">
      <alignment horizontal="center" vertical="center" wrapText="1"/>
    </xf>
    <xf numFmtId="176" fontId="8" fillId="0" borderId="7" xfId="0" applyNumberFormat="1" applyFont="1" applyFill="1" applyBorder="1" applyAlignment="1">
      <alignment horizontal="center" vertical="center"/>
    </xf>
    <xf numFmtId="176" fontId="8" fillId="0" borderId="8" xfId="0" applyNumberFormat="1" applyFont="1" applyFill="1" applyBorder="1" applyAlignment="1">
      <alignment horizontal="center" vertical="center"/>
    </xf>
    <xf numFmtId="0" fontId="9" fillId="0" borderId="6" xfId="0" applyFont="1" applyFill="1" applyBorder="1" applyAlignment="1">
      <alignment horizontal="center" vertical="center"/>
    </xf>
    <xf numFmtId="0" fontId="12" fillId="0" borderId="6" xfId="0" applyFont="1" applyFill="1" applyBorder="1" applyAlignment="1">
      <alignment horizontal="center" vertical="center" wrapText="1"/>
    </xf>
    <xf numFmtId="49" fontId="12" fillId="0" borderId="6" xfId="0" applyNumberFormat="1" applyFont="1" applyFill="1" applyBorder="1" applyAlignment="1">
      <alignment horizontal="center" vertical="center"/>
    </xf>
    <xf numFmtId="176" fontId="8" fillId="0" borderId="9" xfId="0" applyNumberFormat="1" applyFont="1" applyFill="1" applyBorder="1" applyAlignment="1">
      <alignment horizontal="center" vertical="center"/>
    </xf>
    <xf numFmtId="176" fontId="8" fillId="0" borderId="0" xfId="0" applyNumberFormat="1" applyFont="1" applyFill="1" applyAlignment="1">
      <alignment horizontal="center" vertical="center"/>
    </xf>
    <xf numFmtId="176" fontId="8" fillId="0" borderId="0" xfId="0" applyNumberFormat="1" applyFont="1" applyFill="1">
      <alignment vertical="center"/>
    </xf>
    <xf numFmtId="176" fontId="8" fillId="0" borderId="0" xfId="0" applyNumberFormat="1" applyFont="1" applyFill="1" applyAlignment="1">
      <alignment vertical="center"/>
    </xf>
    <xf numFmtId="0" fontId="15" fillId="0" borderId="0" xfId="0" applyFont="1" applyFill="1" applyAlignment="1">
      <alignment horizontal="center" vertical="center"/>
    </xf>
    <xf numFmtId="0" fontId="20" fillId="0" borderId="0" xfId="0" applyFont="1" applyFill="1" applyAlignment="1">
      <alignment horizontal="center" vertical="center"/>
    </xf>
    <xf numFmtId="0" fontId="20" fillId="0" borderId="0" xfId="0" applyFont="1" applyFill="1" applyAlignment="1">
      <alignment horizontal="center" vertical="center" wrapText="1"/>
    </xf>
    <xf numFmtId="176" fontId="8" fillId="0" borderId="1" xfId="0" applyNumberFormat="1" applyFont="1" applyFill="1" applyBorder="1" applyAlignment="1">
      <alignment horizontal="center" vertical="center" wrapText="1"/>
    </xf>
    <xf numFmtId="176" fontId="8" fillId="0" borderId="5" xfId="0" applyNumberFormat="1" applyFont="1" applyFill="1" applyBorder="1" applyAlignment="1">
      <alignment horizontal="center" vertical="center" wrapText="1"/>
    </xf>
    <xf numFmtId="49" fontId="12" fillId="0" borderId="6" xfId="0" applyNumberFormat="1" applyFont="1" applyFill="1" applyBorder="1" applyAlignment="1">
      <alignment horizontal="center" vertical="center" wrapText="1"/>
    </xf>
    <xf numFmtId="49" fontId="14" fillId="0" borderId="6" xfId="0" applyNumberFormat="1" applyFont="1" applyFill="1" applyBorder="1" applyAlignment="1">
      <alignment horizontal="center" vertical="center"/>
    </xf>
    <xf numFmtId="0" fontId="18" fillId="0" borderId="6" xfId="0" applyFont="1" applyFill="1" applyBorder="1" applyAlignment="1">
      <alignment horizontal="center" vertical="center" wrapText="1"/>
    </xf>
    <xf numFmtId="0" fontId="1" fillId="0" borderId="6" xfId="0" applyFont="1" applyFill="1" applyBorder="1" applyAlignment="1">
      <alignment horizontal="center" vertical="center"/>
    </xf>
    <xf numFmtId="0" fontId="12" fillId="0" borderId="0" xfId="0" applyFont="1" applyFill="1" applyAlignment="1">
      <alignment horizontal="left" vertical="center" wrapText="1"/>
    </xf>
    <xf numFmtId="0" fontId="12" fillId="0" borderId="0" xfId="0" applyFont="1" applyFill="1" applyAlignment="1">
      <alignment vertical="center" wrapText="1"/>
    </xf>
    <xf numFmtId="0" fontId="9" fillId="0" borderId="0" xfId="0" applyFont="1" applyFill="1" applyAlignment="1">
      <alignment horizontal="center" vertical="center"/>
    </xf>
    <xf numFmtId="176" fontId="8" fillId="0" borderId="2" xfId="0" applyNumberFormat="1" applyFont="1" applyFill="1" applyBorder="1" applyAlignment="1">
      <alignment horizontal="center" vertical="center"/>
    </xf>
    <xf numFmtId="176" fontId="8" fillId="0" borderId="3" xfId="0" applyNumberFormat="1" applyFont="1" applyFill="1" applyBorder="1" applyAlignment="1">
      <alignment horizontal="center" vertical="center"/>
    </xf>
    <xf numFmtId="0" fontId="12" fillId="0" borderId="6" xfId="0" applyFont="1" applyFill="1" applyBorder="1" applyAlignment="1">
      <alignment horizontal="left" vertical="center" wrapText="1"/>
    </xf>
    <xf numFmtId="0" fontId="12" fillId="0" borderId="6" xfId="0" applyFont="1" applyFill="1" applyBorder="1" applyAlignment="1">
      <alignment vertical="center" wrapText="1"/>
    </xf>
    <xf numFmtId="180" fontId="19" fillId="0" borderId="6" xfId="0" applyNumberFormat="1" applyFont="1" applyFill="1" applyBorder="1" applyAlignment="1">
      <alignment vertical="center" wrapText="1"/>
    </xf>
    <xf numFmtId="0" fontId="1" fillId="0" borderId="6" xfId="0" applyFont="1" applyFill="1" applyBorder="1" applyAlignment="1">
      <alignment vertical="center" wrapText="1"/>
    </xf>
    <xf numFmtId="176" fontId="8" fillId="0" borderId="4" xfId="0" applyNumberFormat="1" applyFont="1" applyFill="1" applyBorder="1" applyAlignment="1">
      <alignment horizontal="center" vertical="center"/>
    </xf>
    <xf numFmtId="0" fontId="1" fillId="0" borderId="6" xfId="0" applyFont="1" applyFill="1" applyBorder="1" applyAlignment="1">
      <alignment vertical="center"/>
    </xf>
    <xf numFmtId="0" fontId="12" fillId="0" borderId="6" xfId="0" applyFont="1" applyFill="1" applyBorder="1">
      <alignment vertical="center"/>
    </xf>
    <xf numFmtId="0" fontId="18" fillId="0" borderId="1" xfId="0" applyFont="1" applyFill="1" applyBorder="1" applyAlignment="1">
      <alignment horizontal="center" vertical="center" wrapText="1"/>
    </xf>
    <xf numFmtId="0" fontId="18" fillId="0" borderId="5" xfId="0" applyFont="1" applyFill="1" applyBorder="1" applyAlignment="1">
      <alignment horizontal="center" vertical="center" wrapText="1"/>
    </xf>
    <xf numFmtId="177" fontId="8" fillId="0" borderId="6" xfId="0" applyNumberFormat="1" applyFont="1" applyFill="1" applyBorder="1" applyAlignment="1">
      <alignment horizontal="center" vertical="center"/>
    </xf>
    <xf numFmtId="177" fontId="12" fillId="0" borderId="6" xfId="0" applyNumberFormat="1" applyFont="1" applyFill="1" applyBorder="1" applyAlignment="1">
      <alignment vertical="center" wrapText="1"/>
    </xf>
    <xf numFmtId="176" fontId="21" fillId="0" borderId="0" xfId="0" applyNumberFormat="1" applyFont="1" applyFill="1" applyAlignment="1">
      <alignment vertical="center"/>
    </xf>
    <xf numFmtId="0" fontId="12" fillId="0" borderId="0" xfId="0" applyFont="1" applyFill="1" applyAlignment="1">
      <alignment vertical="center"/>
    </xf>
    <xf numFmtId="0" fontId="12" fillId="0" borderId="0" xfId="0" applyFont="1" applyFill="1" applyAlignment="1">
      <alignment horizontal="left" vertical="center"/>
    </xf>
    <xf numFmtId="0" fontId="8" fillId="0" borderId="0" xfId="0" applyFont="1" applyFill="1" applyAlignment="1">
      <alignment vertical="center"/>
    </xf>
    <xf numFmtId="176" fontId="12" fillId="0" borderId="0" xfId="0" applyNumberFormat="1" applyFont="1" applyFill="1" applyAlignment="1">
      <alignment vertical="center"/>
    </xf>
    <xf numFmtId="0" fontId="17" fillId="0" borderId="6" xfId="0" applyFont="1" applyFill="1" applyBorder="1" applyAlignment="1">
      <alignment horizontal="center" vertical="center"/>
    </xf>
    <xf numFmtId="0" fontId="13" fillId="0" borderId="6" xfId="0" applyFont="1" applyFill="1" applyBorder="1" applyAlignment="1">
      <alignment horizontal="center" vertical="center"/>
    </xf>
    <xf numFmtId="0" fontId="12" fillId="0" borderId="6" xfId="0" applyFont="1" applyFill="1" applyBorder="1" applyAlignment="1">
      <alignment horizontal="left" vertical="center"/>
    </xf>
    <xf numFmtId="0" fontId="14" fillId="0" borderId="6" xfId="0" applyFont="1" applyFill="1" applyBorder="1" applyAlignment="1">
      <alignment horizontal="left" vertical="center"/>
    </xf>
    <xf numFmtId="0" fontId="14" fillId="0" borderId="6" xfId="0" applyFont="1" applyFill="1" applyBorder="1" applyAlignment="1">
      <alignment horizontal="center" vertical="center"/>
    </xf>
    <xf numFmtId="0" fontId="13" fillId="0" borderId="1" xfId="0" applyFont="1" applyFill="1" applyBorder="1" applyAlignment="1">
      <alignment horizontal="center" vertical="center" wrapText="1"/>
    </xf>
    <xf numFmtId="0" fontId="13" fillId="0" borderId="5" xfId="0" applyFont="1" applyFill="1" applyBorder="1" applyAlignment="1">
      <alignment horizontal="center" vertical="center" wrapText="1"/>
    </xf>
    <xf numFmtId="176" fontId="12" fillId="0" borderId="6" xfId="0" applyNumberFormat="1" applyFont="1" applyFill="1" applyBorder="1" applyAlignment="1">
      <alignment horizontal="center" vertical="center" wrapText="1"/>
    </xf>
    <xf numFmtId="0" fontId="8" fillId="0" borderId="0" xfId="0" applyFont="1" applyAlignment="1">
      <alignment horizontal="center" vertical="center"/>
    </xf>
    <xf numFmtId="0" fontId="12" fillId="7" borderId="0" xfId="0" applyFont="1" applyFill="1">
      <alignment vertical="center"/>
    </xf>
    <xf numFmtId="0" fontId="15" fillId="7" borderId="0" xfId="0" applyFont="1" applyFill="1">
      <alignment vertical="center"/>
    </xf>
    <xf numFmtId="0" fontId="12" fillId="0" borderId="0" xfId="0" applyFont="1">
      <alignment vertical="center"/>
    </xf>
    <xf numFmtId="0" fontId="12" fillId="0" borderId="0" xfId="0" applyFont="1" applyAlignment="1">
      <alignment horizontal="center" vertical="center"/>
    </xf>
    <xf numFmtId="176" fontId="12" fillId="0" borderId="0" xfId="0" applyNumberFormat="1" applyFont="1">
      <alignment vertical="center"/>
    </xf>
    <xf numFmtId="176" fontId="12" fillId="0" borderId="0" xfId="0" applyNumberFormat="1" applyFont="1" applyAlignment="1">
      <alignment horizontal="center" vertical="center"/>
    </xf>
    <xf numFmtId="177" fontId="12" fillId="0" borderId="0" xfId="0" applyNumberFormat="1" applyFont="1">
      <alignment vertical="center"/>
    </xf>
    <xf numFmtId="0" fontId="8" fillId="0" borderId="10" xfId="0" applyFont="1" applyBorder="1" applyAlignment="1">
      <alignment horizontal="center" vertical="center"/>
    </xf>
    <xf numFmtId="0" fontId="8" fillId="0" borderId="4" xfId="0" applyFont="1" applyBorder="1" applyAlignment="1">
      <alignment horizontal="center" vertical="center"/>
    </xf>
    <xf numFmtId="0" fontId="8" fillId="0" borderId="6" xfId="0" applyFont="1" applyBorder="1" applyAlignment="1">
      <alignment horizontal="center" vertical="center"/>
    </xf>
    <xf numFmtId="0" fontId="12" fillId="7" borderId="6" xfId="0" applyFont="1" applyFill="1" applyBorder="1">
      <alignment vertical="center"/>
    </xf>
    <xf numFmtId="0" fontId="12" fillId="7" borderId="6" xfId="0" applyFont="1" applyFill="1" applyBorder="1" applyAlignment="1">
      <alignment horizontal="center" vertical="center"/>
    </xf>
    <xf numFmtId="14" fontId="12" fillId="7" borderId="6" xfId="0" applyNumberFormat="1" applyFont="1" applyFill="1" applyBorder="1">
      <alignment vertical="center"/>
    </xf>
    <xf numFmtId="0" fontId="15" fillId="7" borderId="6" xfId="0" applyFont="1" applyFill="1" applyBorder="1">
      <alignment vertical="center"/>
    </xf>
    <xf numFmtId="176" fontId="8" fillId="6" borderId="6" xfId="0" applyNumberFormat="1" applyFont="1" applyFill="1" applyBorder="1" applyAlignment="1">
      <alignment horizontal="center" vertical="center"/>
    </xf>
    <xf numFmtId="176" fontId="8" fillId="3" borderId="6" xfId="0" applyNumberFormat="1" applyFont="1" applyFill="1" applyBorder="1" applyAlignment="1">
      <alignment horizontal="center" vertical="center"/>
    </xf>
    <xf numFmtId="176" fontId="12" fillId="7" borderId="6" xfId="0" applyNumberFormat="1" applyFont="1" applyFill="1" applyBorder="1">
      <alignment vertical="center"/>
    </xf>
    <xf numFmtId="176" fontId="12" fillId="7" borderId="6" xfId="0" applyNumberFormat="1" applyFont="1" applyFill="1" applyBorder="1" applyAlignment="1">
      <alignment horizontal="center" vertical="center"/>
    </xf>
    <xf numFmtId="176" fontId="18" fillId="8" borderId="6" xfId="0" applyNumberFormat="1" applyFont="1" applyFill="1" applyBorder="1" applyAlignment="1">
      <alignment horizontal="center" vertical="center"/>
    </xf>
    <xf numFmtId="176" fontId="18" fillId="8" borderId="2" xfId="0" applyNumberFormat="1" applyFont="1" applyFill="1" applyBorder="1" applyAlignment="1">
      <alignment horizontal="center" vertical="center"/>
    </xf>
    <xf numFmtId="176" fontId="18" fillId="8" borderId="0" xfId="0" applyNumberFormat="1" applyFont="1" applyFill="1" applyAlignment="1">
      <alignment horizontal="center" vertical="center"/>
    </xf>
    <xf numFmtId="176" fontId="13" fillId="8" borderId="6" xfId="0" applyNumberFormat="1" applyFont="1" applyFill="1" applyBorder="1" applyAlignment="1">
      <alignment horizontal="center" vertical="center" wrapText="1"/>
    </xf>
    <xf numFmtId="176" fontId="13" fillId="8" borderId="2" xfId="0" applyNumberFormat="1" applyFont="1" applyFill="1" applyBorder="1" applyAlignment="1">
      <alignment horizontal="center" vertical="center" wrapText="1"/>
    </xf>
    <xf numFmtId="176" fontId="18" fillId="8" borderId="10" xfId="0" applyNumberFormat="1" applyFont="1" applyFill="1" applyBorder="1" applyAlignment="1">
      <alignment horizontal="center" vertical="center"/>
    </xf>
    <xf numFmtId="176" fontId="15" fillId="7" borderId="6" xfId="0" applyNumberFormat="1" applyFont="1" applyFill="1" applyBorder="1">
      <alignment vertical="center"/>
    </xf>
    <xf numFmtId="0" fontId="22" fillId="7" borderId="2" xfId="0" applyFont="1" applyFill="1" applyBorder="1" applyAlignment="1">
      <alignment horizontal="center" vertical="center" wrapText="1"/>
    </xf>
    <xf numFmtId="0" fontId="12" fillId="7" borderId="6" xfId="0" applyFont="1" applyFill="1" applyBorder="1" applyAlignment="1">
      <alignment vertical="center" wrapText="1"/>
    </xf>
    <xf numFmtId="176" fontId="8" fillId="0" borderId="0" xfId="0" applyNumberFormat="1" applyFont="1" applyFill="1" applyAlignment="1">
      <alignment horizontal="center" vertical="center" wrapText="1"/>
    </xf>
    <xf numFmtId="177" fontId="8" fillId="0" borderId="0" xfId="0" applyNumberFormat="1" applyFont="1" applyFill="1" applyAlignment="1">
      <alignment horizontal="center" vertical="center" wrapText="1"/>
    </xf>
    <xf numFmtId="177" fontId="8" fillId="0" borderId="0" xfId="0" applyNumberFormat="1" applyFont="1" applyAlignment="1">
      <alignment horizontal="center" vertical="center"/>
    </xf>
    <xf numFmtId="0" fontId="8" fillId="0" borderId="0" xfId="0" applyFont="1" applyAlignment="1">
      <alignment horizontal="center" vertical="center" wrapText="1"/>
    </xf>
    <xf numFmtId="177" fontId="12" fillId="7" borderId="6" xfId="0" applyNumberFormat="1" applyFont="1" applyFill="1" applyBorder="1">
      <alignment vertical="center"/>
    </xf>
    <xf numFmtId="177" fontId="12" fillId="7" borderId="0" xfId="0" applyNumberFormat="1" applyFont="1" applyFill="1">
      <alignment vertical="center"/>
    </xf>
    <xf numFmtId="176" fontId="12" fillId="7" borderId="0" xfId="0" applyNumberFormat="1" applyFont="1" applyFill="1">
      <alignment vertical="center"/>
    </xf>
    <xf numFmtId="176" fontId="15" fillId="7" borderId="0" xfId="0" applyNumberFormat="1" applyFont="1" applyFill="1">
      <alignment vertical="center"/>
    </xf>
    <xf numFmtId="0" fontId="8" fillId="0" borderId="6" xfId="36" applyFont="1" applyFill="1" applyBorder="1" applyAlignment="1">
      <alignment horizontal="center" vertical="center"/>
    </xf>
    <xf numFmtId="49" fontId="8" fillId="0" borderId="6" xfId="36" applyNumberFormat="1" applyFont="1" applyFill="1" applyBorder="1" applyAlignment="1">
      <alignment horizontal="center" vertical="center"/>
    </xf>
    <xf numFmtId="49" fontId="8" fillId="0" borderId="6" xfId="36" applyNumberFormat="1" applyFont="1" applyFill="1" applyBorder="1" applyAlignment="1">
      <alignment horizontal="center" vertical="center" wrapText="1"/>
    </xf>
    <xf numFmtId="0" fontId="12" fillId="0" borderId="6" xfId="36" applyFont="1" applyFill="1" applyBorder="1" applyAlignment="1">
      <alignment horizontal="center" vertical="center"/>
    </xf>
    <xf numFmtId="0" fontId="12" fillId="0" borderId="6" xfId="0" applyNumberFormat="1" applyFont="1" applyFill="1" applyBorder="1" applyAlignment="1">
      <alignment horizontal="center" vertical="center"/>
    </xf>
    <xf numFmtId="178" fontId="8" fillId="0" borderId="6" xfId="36" applyNumberFormat="1" applyFont="1" applyFill="1" applyBorder="1" applyAlignment="1">
      <alignment horizontal="center" vertical="center" wrapText="1"/>
    </xf>
    <xf numFmtId="178" fontId="8" fillId="2" borderId="6" xfId="36" applyNumberFormat="1" applyFont="1" applyFill="1" applyBorder="1" applyAlignment="1">
      <alignment horizontal="center" vertical="center"/>
    </xf>
    <xf numFmtId="179" fontId="12" fillId="0" borderId="6" xfId="36" applyNumberFormat="1" applyFont="1" applyFill="1" applyBorder="1" applyAlignment="1">
      <alignment horizontal="center" vertical="center"/>
    </xf>
    <xf numFmtId="178" fontId="8" fillId="0" borderId="6" xfId="36" applyNumberFormat="1" applyFont="1" applyFill="1" applyBorder="1" applyAlignment="1">
      <alignment horizontal="center" vertical="center"/>
    </xf>
    <xf numFmtId="178" fontId="8" fillId="9" borderId="6" xfId="36" applyNumberFormat="1" applyFont="1" applyFill="1" applyBorder="1" applyAlignment="1">
      <alignment horizontal="center" vertical="center" wrapText="1"/>
    </xf>
    <xf numFmtId="177" fontId="12" fillId="0" borderId="6" xfId="0" applyNumberFormat="1" applyFont="1" applyFill="1" applyBorder="1">
      <alignment vertical="center"/>
    </xf>
    <xf numFmtId="177" fontId="12" fillId="0" borderId="6" xfId="0" applyNumberFormat="1" applyFont="1" applyFill="1" applyBorder="1" applyAlignment="1">
      <alignment horizontal="center" vertical="center"/>
    </xf>
    <xf numFmtId="14" fontId="12" fillId="0" borderId="6" xfId="0" applyNumberFormat="1" applyFont="1" applyFill="1" applyBorder="1">
      <alignment vertical="center"/>
    </xf>
    <xf numFmtId="177" fontId="8" fillId="0" borderId="0" xfId="0" applyNumberFormat="1" applyFont="1" applyFill="1" applyBorder="1" applyAlignment="1">
      <alignment horizontal="center" vertical="center"/>
    </xf>
    <xf numFmtId="0" fontId="8" fillId="0" borderId="0" xfId="0" applyFont="1" applyFill="1" applyBorder="1" applyAlignment="1">
      <alignment vertical="center" wrapText="1"/>
    </xf>
    <xf numFmtId="0" fontId="8" fillId="0" borderId="0" xfId="0" applyFont="1" applyFill="1" applyBorder="1">
      <alignment vertical="center"/>
    </xf>
    <xf numFmtId="176" fontId="12" fillId="0" borderId="0" xfId="0" applyNumberFormat="1" applyFont="1" applyFill="1" applyBorder="1">
      <alignment vertical="center"/>
    </xf>
    <xf numFmtId="0" fontId="12" fillId="0" borderId="0" xfId="0" applyFont="1" applyFill="1" applyBorder="1">
      <alignment vertical="center"/>
    </xf>
    <xf numFmtId="0" fontId="12" fillId="6" borderId="0" xfId="0" applyFont="1" applyFill="1">
      <alignment vertical="center"/>
    </xf>
    <xf numFmtId="0" fontId="12" fillId="0" borderId="0" xfId="0" applyFont="1" applyBorder="1" applyAlignment="1">
      <alignment horizontal="center" vertical="center"/>
    </xf>
    <xf numFmtId="0" fontId="12" fillId="10" borderId="0" xfId="0" applyFont="1" applyFill="1" applyBorder="1" applyAlignment="1">
      <alignment horizontal="center" vertical="center"/>
    </xf>
    <xf numFmtId="0" fontId="14" fillId="0" borderId="0" xfId="0" applyFont="1" applyBorder="1" applyAlignment="1">
      <alignment horizontal="center" vertical="center"/>
    </xf>
    <xf numFmtId="0" fontId="15" fillId="0" borderId="0" xfId="0" applyFont="1" applyBorder="1" applyAlignment="1">
      <alignment horizontal="center" vertical="center"/>
    </xf>
    <xf numFmtId="49" fontId="12" fillId="0" borderId="0" xfId="0" applyNumberFormat="1" applyFont="1" applyFill="1" applyAlignment="1">
      <alignment horizontal="center" vertical="center"/>
    </xf>
    <xf numFmtId="177" fontId="12" fillId="0" borderId="0" xfId="0" applyNumberFormat="1" applyFont="1" applyFill="1" applyAlignment="1">
      <alignment horizontal="center" vertical="center"/>
    </xf>
    <xf numFmtId="181" fontId="12" fillId="0" borderId="0" xfId="0" applyNumberFormat="1" applyFont="1" applyFill="1" applyAlignment="1">
      <alignment horizontal="center" vertical="center"/>
    </xf>
    <xf numFmtId="0" fontId="12" fillId="0" borderId="0" xfId="0" applyNumberFormat="1" applyFont="1" applyFill="1" applyAlignment="1">
      <alignment horizontal="center" vertical="center"/>
    </xf>
    <xf numFmtId="176" fontId="12" fillId="0" borderId="0" xfId="0" applyNumberFormat="1" applyFont="1" applyFill="1" applyAlignment="1">
      <alignment horizontal="right" vertical="center"/>
    </xf>
    <xf numFmtId="49" fontId="8" fillId="0" borderId="6" xfId="0" applyNumberFormat="1" applyFont="1" applyFill="1" applyBorder="1" applyAlignment="1" applyProtection="1">
      <alignment horizontal="center" vertical="center"/>
      <protection locked="0"/>
    </xf>
    <xf numFmtId="49" fontId="8" fillId="0" borderId="6" xfId="0" applyNumberFormat="1" applyFont="1" applyFill="1" applyBorder="1" applyAlignment="1" applyProtection="1">
      <alignment horizontal="center" vertical="center" wrapText="1"/>
      <protection locked="0"/>
    </xf>
    <xf numFmtId="0" fontId="8" fillId="0" borderId="6" xfId="0" applyNumberFormat="1" applyFont="1" applyFill="1" applyBorder="1" applyAlignment="1" applyProtection="1">
      <alignment horizontal="center" vertical="center" wrapText="1"/>
      <protection locked="0"/>
    </xf>
    <xf numFmtId="49" fontId="14" fillId="0" borderId="6" xfId="0" applyNumberFormat="1" applyFont="1" applyFill="1" applyBorder="1" applyAlignment="1" applyProtection="1">
      <alignment horizontal="center" vertical="center"/>
    </xf>
    <xf numFmtId="0" fontId="12" fillId="0" borderId="6" xfId="0" applyNumberFormat="1" applyFont="1" applyFill="1" applyBorder="1" applyAlignment="1" applyProtection="1">
      <alignment horizontal="center" vertical="center"/>
    </xf>
    <xf numFmtId="49" fontId="12" fillId="0" borderId="6" xfId="0" applyNumberFormat="1" applyFont="1" applyFill="1" applyBorder="1" applyAlignment="1" applyProtection="1">
      <alignment horizontal="center" vertical="center"/>
    </xf>
    <xf numFmtId="179" fontId="8" fillId="0" borderId="6" xfId="0" applyNumberFormat="1" applyFont="1" applyFill="1" applyBorder="1" applyAlignment="1" applyProtection="1">
      <alignment horizontal="center" vertical="center"/>
      <protection locked="0"/>
    </xf>
    <xf numFmtId="0" fontId="9" fillId="0" borderId="6" xfId="0" applyNumberFormat="1" applyFont="1" applyFill="1" applyBorder="1" applyAlignment="1" applyProtection="1">
      <alignment horizontal="center" vertical="center"/>
      <protection locked="0"/>
    </xf>
    <xf numFmtId="49" fontId="9" fillId="0" borderId="6" xfId="0" applyNumberFormat="1" applyFont="1" applyFill="1" applyBorder="1" applyAlignment="1" applyProtection="1">
      <alignment horizontal="center" vertical="center" wrapText="1"/>
      <protection locked="0"/>
    </xf>
    <xf numFmtId="49" fontId="9" fillId="0" borderId="6" xfId="0" applyNumberFormat="1" applyFont="1" applyFill="1" applyBorder="1" applyAlignment="1" applyProtection="1">
      <alignment horizontal="center" vertical="center"/>
      <protection locked="0"/>
    </xf>
    <xf numFmtId="177" fontId="9" fillId="0" borderId="6" xfId="0" applyNumberFormat="1" applyFont="1" applyFill="1" applyBorder="1" applyAlignment="1" applyProtection="1">
      <alignment horizontal="center" vertical="center" wrapText="1"/>
      <protection locked="0"/>
    </xf>
    <xf numFmtId="179" fontId="12" fillId="0" borderId="6" xfId="0" applyNumberFormat="1" applyFont="1" applyFill="1" applyBorder="1" applyAlignment="1" applyProtection="1">
      <alignment horizontal="center" vertical="center"/>
    </xf>
    <xf numFmtId="177" fontId="14" fillId="0" borderId="6" xfId="0" applyNumberFormat="1" applyFont="1" applyFill="1" applyBorder="1" applyAlignment="1" applyProtection="1">
      <alignment horizontal="center" vertical="center"/>
    </xf>
    <xf numFmtId="178" fontId="8" fillId="0" borderId="6" xfId="0" applyNumberFormat="1" applyFont="1" applyFill="1" applyBorder="1" applyAlignment="1" applyProtection="1">
      <alignment horizontal="center" vertical="center" wrapText="1"/>
      <protection locked="0"/>
    </xf>
    <xf numFmtId="181" fontId="9" fillId="2" borderId="6" xfId="0" applyNumberFormat="1" applyFont="1" applyFill="1" applyBorder="1" applyAlignment="1" applyProtection="1">
      <alignment horizontal="center" vertical="center"/>
      <protection locked="0"/>
    </xf>
    <xf numFmtId="181" fontId="9" fillId="0" borderId="6" xfId="0" applyNumberFormat="1" applyFont="1" applyFill="1" applyBorder="1" applyAlignment="1" applyProtection="1">
      <alignment horizontal="center" vertical="center"/>
      <protection locked="0"/>
    </xf>
    <xf numFmtId="181" fontId="9" fillId="2" borderId="6" xfId="0" applyNumberFormat="1" applyFont="1" applyFill="1" applyBorder="1" applyAlignment="1" applyProtection="1">
      <alignment horizontal="center" vertical="center" wrapText="1"/>
      <protection locked="0"/>
    </xf>
    <xf numFmtId="181" fontId="14" fillId="0" borderId="6" xfId="0" applyNumberFormat="1" applyFont="1" applyFill="1" applyBorder="1" applyAlignment="1" applyProtection="1">
      <alignment horizontal="center" vertical="center"/>
    </xf>
    <xf numFmtId="181" fontId="12" fillId="0" borderId="6" xfId="0" applyNumberFormat="1" applyFont="1" applyFill="1" applyBorder="1" applyAlignment="1" applyProtection="1">
      <alignment horizontal="center" vertical="center"/>
    </xf>
    <xf numFmtId="177" fontId="9" fillId="0" borderId="6" xfId="0" applyNumberFormat="1" applyFont="1" applyFill="1" applyBorder="1" applyAlignment="1" applyProtection="1">
      <alignment horizontal="center" vertical="center"/>
      <protection locked="0"/>
    </xf>
    <xf numFmtId="0" fontId="9" fillId="9" borderId="6" xfId="0" applyNumberFormat="1" applyFont="1" applyFill="1" applyBorder="1" applyAlignment="1" applyProtection="1">
      <alignment horizontal="center" vertical="center" wrapText="1"/>
      <protection locked="0"/>
    </xf>
    <xf numFmtId="176" fontId="8" fillId="11" borderId="6" xfId="0" applyNumberFormat="1" applyFont="1" applyFill="1" applyBorder="1" applyAlignment="1">
      <alignment horizontal="center" vertical="center" wrapText="1"/>
    </xf>
    <xf numFmtId="176" fontId="8" fillId="0" borderId="0" xfId="0" applyNumberFormat="1" applyFont="1" applyFill="1" applyBorder="1" applyAlignment="1">
      <alignment horizontal="center" vertical="center"/>
    </xf>
    <xf numFmtId="0" fontId="8" fillId="0" borderId="0" xfId="0" applyFont="1" applyFill="1" applyBorder="1" applyAlignment="1">
      <alignment horizontal="center" vertical="center" wrapText="1"/>
    </xf>
    <xf numFmtId="0" fontId="8" fillId="0" borderId="0" xfId="0" applyFont="1" applyFill="1" applyBorder="1" applyAlignment="1">
      <alignment horizontal="center" vertical="center"/>
    </xf>
    <xf numFmtId="177" fontId="12" fillId="0" borderId="0" xfId="0" applyNumberFormat="1" applyFont="1" applyFill="1" applyBorder="1" applyAlignment="1">
      <alignment horizontal="center" vertical="center"/>
    </xf>
    <xf numFmtId="176" fontId="14" fillId="0" borderId="6" xfId="0" applyNumberFormat="1" applyFont="1" applyFill="1" applyBorder="1" applyAlignment="1">
      <alignment horizontal="right" vertical="center"/>
    </xf>
    <xf numFmtId="177" fontId="14" fillId="0" borderId="6" xfId="0" applyNumberFormat="1" applyFont="1" applyFill="1" applyBorder="1" applyAlignment="1">
      <alignment horizontal="center" vertical="center"/>
    </xf>
    <xf numFmtId="0" fontId="12" fillId="0" borderId="6" xfId="0" applyFont="1" applyFill="1" applyBorder="1" applyAlignment="1">
      <alignment vertical="center"/>
    </xf>
    <xf numFmtId="178" fontId="12" fillId="0" borderId="6" xfId="0" applyNumberFormat="1" applyFont="1" applyFill="1" applyBorder="1" applyAlignment="1" applyProtection="1">
      <alignment horizontal="center" vertical="center"/>
    </xf>
    <xf numFmtId="181" fontId="12" fillId="0" borderId="6" xfId="0" applyNumberFormat="1" applyFont="1" applyFill="1" applyBorder="1" applyAlignment="1">
      <alignment horizontal="center" vertical="center"/>
    </xf>
    <xf numFmtId="177" fontId="12" fillId="0" borderId="6" xfId="0" applyNumberFormat="1" applyFont="1" applyBorder="1" applyAlignment="1">
      <alignment horizontal="center" vertical="center"/>
    </xf>
    <xf numFmtId="176" fontId="12" fillId="0" borderId="6" xfId="0" applyNumberFormat="1" applyFont="1" applyBorder="1" applyAlignment="1">
      <alignment horizontal="right" vertical="center"/>
    </xf>
    <xf numFmtId="0" fontId="12" fillId="0" borderId="6" xfId="0" applyNumberFormat="1" applyFont="1" applyFill="1" applyBorder="1" applyAlignment="1" applyProtection="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2" fillId="0" borderId="1" xfId="0" applyFont="1" applyFill="1" applyBorder="1" applyAlignment="1">
      <alignment vertical="center"/>
    </xf>
    <xf numFmtId="49" fontId="12" fillId="0" borderId="1" xfId="0" applyNumberFormat="1" applyFont="1" applyFill="1" applyBorder="1" applyAlignment="1">
      <alignment horizontal="center" vertical="center"/>
    </xf>
    <xf numFmtId="0" fontId="12" fillId="0" borderId="1" xfId="0" applyFont="1" applyFill="1" applyBorder="1">
      <alignment vertical="center"/>
    </xf>
    <xf numFmtId="177" fontId="12" fillId="0" borderId="1" xfId="0" applyNumberFormat="1" applyFont="1" applyFill="1" applyBorder="1" applyAlignment="1">
      <alignment horizontal="center" vertical="center"/>
    </xf>
    <xf numFmtId="181" fontId="12" fillId="0" borderId="1" xfId="0" applyNumberFormat="1" applyFont="1" applyFill="1" applyBorder="1" applyAlignment="1">
      <alignment horizontal="center" vertical="center"/>
    </xf>
    <xf numFmtId="14" fontId="12" fillId="0" borderId="6" xfId="0" applyNumberFormat="1" applyFont="1" applyFill="1" applyBorder="1" applyAlignment="1" applyProtection="1">
      <alignment horizontal="center" vertical="center"/>
    </xf>
    <xf numFmtId="14" fontId="14" fillId="0" borderId="6" xfId="0" applyNumberFormat="1" applyFont="1" applyFill="1" applyBorder="1" applyAlignment="1" applyProtection="1">
      <alignment horizontal="center" vertical="center"/>
    </xf>
    <xf numFmtId="177" fontId="12" fillId="0" borderId="1" xfId="0" applyNumberFormat="1" applyFont="1" applyFill="1" applyBorder="1">
      <alignment vertical="center"/>
    </xf>
    <xf numFmtId="0" fontId="12" fillId="0" borderId="1" xfId="0" applyNumberFormat="1" applyFont="1" applyFill="1" applyBorder="1" applyAlignment="1">
      <alignment horizontal="center" vertical="center"/>
    </xf>
    <xf numFmtId="176" fontId="12" fillId="0" borderId="1" xfId="0" applyNumberFormat="1" applyFont="1" applyFill="1" applyBorder="1" applyAlignment="1">
      <alignment horizontal="center" vertical="center"/>
    </xf>
    <xf numFmtId="176" fontId="12" fillId="0" borderId="1" xfId="0" applyNumberFormat="1" applyFont="1" applyFill="1" applyBorder="1" applyAlignment="1">
      <alignment horizontal="right" vertical="center"/>
    </xf>
    <xf numFmtId="176" fontId="12" fillId="0" borderId="6" xfId="0" applyNumberFormat="1" applyFont="1" applyFill="1" applyBorder="1" applyAlignment="1">
      <alignment horizontal="right" vertical="center" wrapText="1"/>
    </xf>
    <xf numFmtId="0" fontId="14" fillId="0" borderId="1" xfId="0" applyNumberFormat="1" applyFont="1" applyFill="1" applyBorder="1" applyAlignment="1" applyProtection="1">
      <alignment horizontal="center" vertical="center" wrapText="1"/>
    </xf>
    <xf numFmtId="0" fontId="14" fillId="0" borderId="1" xfId="0" applyNumberFormat="1" applyFont="1" applyFill="1" applyBorder="1" applyAlignment="1" applyProtection="1">
      <alignment horizontal="center" vertical="center"/>
    </xf>
    <xf numFmtId="0" fontId="12" fillId="0" borderId="1" xfId="0" applyNumberFormat="1" applyFont="1" applyFill="1" applyBorder="1" applyAlignment="1" applyProtection="1">
      <alignment horizontal="center" vertical="center"/>
    </xf>
    <xf numFmtId="49" fontId="12" fillId="0" borderId="1" xfId="0" applyNumberFormat="1" applyFont="1" applyFill="1" applyBorder="1" applyAlignment="1" applyProtection="1">
      <alignment horizontal="center" vertical="center"/>
    </xf>
    <xf numFmtId="179" fontId="12" fillId="0" borderId="1" xfId="0" applyNumberFormat="1" applyFont="1" applyFill="1" applyBorder="1" applyAlignment="1" applyProtection="1">
      <alignment horizontal="center" vertical="center"/>
    </xf>
    <xf numFmtId="179" fontId="14" fillId="0" borderId="1" xfId="0" applyNumberFormat="1" applyFont="1" applyFill="1" applyBorder="1" applyAlignment="1" applyProtection="1">
      <alignment horizontal="center" vertical="center"/>
    </xf>
    <xf numFmtId="49" fontId="14" fillId="0" borderId="1" xfId="0" applyNumberFormat="1" applyFont="1" applyFill="1" applyBorder="1" applyAlignment="1" applyProtection="1">
      <alignment horizontal="center" vertical="center"/>
    </xf>
    <xf numFmtId="178" fontId="14" fillId="0" borderId="1" xfId="0" applyNumberFormat="1" applyFont="1" applyFill="1" applyBorder="1" applyAlignment="1" applyProtection="1">
      <alignment horizontal="center" vertical="center"/>
    </xf>
    <xf numFmtId="178" fontId="12" fillId="0" borderId="1" xfId="0" applyNumberFormat="1" applyFont="1" applyFill="1" applyBorder="1" applyAlignment="1" applyProtection="1">
      <alignment horizontal="center" vertical="center"/>
    </xf>
    <xf numFmtId="177" fontId="14" fillId="0" borderId="1" xfId="0" applyNumberFormat="1" applyFont="1" applyFill="1" applyBorder="1" applyAlignment="1" applyProtection="1">
      <alignment horizontal="center" vertical="center"/>
    </xf>
    <xf numFmtId="180" fontId="12" fillId="0" borderId="6" xfId="0" applyNumberFormat="1" applyFont="1" applyFill="1" applyBorder="1" applyAlignment="1">
      <alignment horizontal="center" vertical="center"/>
    </xf>
    <xf numFmtId="180" fontId="12" fillId="0" borderId="0" xfId="0" applyNumberFormat="1" applyFont="1" applyFill="1" applyBorder="1" applyAlignment="1">
      <alignment horizontal="center" vertical="center"/>
    </xf>
    <xf numFmtId="180" fontId="12" fillId="0" borderId="1" xfId="0" applyNumberFormat="1" applyFont="1" applyFill="1" applyBorder="1" applyAlignment="1">
      <alignment horizontal="center" vertical="center"/>
    </xf>
    <xf numFmtId="176" fontId="12" fillId="0" borderId="1" xfId="0" applyNumberFormat="1" applyFont="1" applyFill="1" applyBorder="1" applyAlignment="1">
      <alignment horizontal="right" vertical="center" wrapText="1"/>
    </xf>
    <xf numFmtId="0" fontId="14" fillId="0" borderId="6" xfId="0" applyNumberFormat="1" applyFont="1" applyFill="1" applyBorder="1" applyAlignment="1" applyProtection="1">
      <alignment horizontal="left" vertical="center"/>
    </xf>
    <xf numFmtId="180" fontId="12" fillId="0" borderId="6" xfId="0" applyNumberFormat="1" applyFont="1" applyFill="1" applyBorder="1" applyAlignment="1" applyProtection="1">
      <alignment horizontal="center" vertical="center"/>
    </xf>
    <xf numFmtId="180" fontId="14" fillId="0" borderId="6" xfId="0" applyNumberFormat="1" applyFont="1" applyFill="1" applyBorder="1" applyAlignment="1">
      <alignment horizontal="center" vertical="center"/>
    </xf>
    <xf numFmtId="180" fontId="14" fillId="0" borderId="1" xfId="0" applyNumberFormat="1" applyFont="1" applyFill="1" applyBorder="1" applyAlignment="1" applyProtection="1">
      <alignment horizontal="center" vertical="center"/>
    </xf>
    <xf numFmtId="176" fontId="12" fillId="0" borderId="5" xfId="0" applyNumberFormat="1" applyFont="1" applyFill="1" applyBorder="1" applyAlignment="1">
      <alignment horizontal="center" vertical="center" wrapText="1"/>
    </xf>
    <xf numFmtId="176" fontId="12" fillId="0" borderId="5" xfId="0" applyNumberFormat="1" applyFont="1" applyFill="1" applyBorder="1" applyAlignment="1">
      <alignment vertical="center" wrapText="1"/>
    </xf>
    <xf numFmtId="176" fontId="12" fillId="0" borderId="5" xfId="0" applyNumberFormat="1" applyFont="1" applyFill="1" applyBorder="1" applyAlignment="1">
      <alignment horizontal="right" vertical="center" wrapText="1"/>
    </xf>
    <xf numFmtId="0" fontId="12" fillId="0" borderId="5" xfId="0" applyFont="1" applyFill="1" applyBorder="1" applyAlignment="1">
      <alignment horizontal="center" vertical="center"/>
    </xf>
    <xf numFmtId="0" fontId="12" fillId="0" borderId="5" xfId="0" applyFont="1" applyFill="1" applyBorder="1" applyAlignment="1">
      <alignment horizontal="left" vertical="center" wrapText="1"/>
    </xf>
    <xf numFmtId="0" fontId="12" fillId="0" borderId="5"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49" fontId="14" fillId="0" borderId="6" xfId="0" applyNumberFormat="1" applyFont="1" applyFill="1" applyBorder="1" applyAlignment="1" applyProtection="1">
      <alignment horizontal="center" vertical="center" wrapText="1"/>
    </xf>
    <xf numFmtId="0" fontId="12" fillId="2" borderId="6" xfId="0" applyFont="1" applyFill="1" applyBorder="1" applyAlignment="1">
      <alignment horizontal="center" vertical="center"/>
    </xf>
    <xf numFmtId="49" fontId="14" fillId="0" borderId="6" xfId="0" applyNumberFormat="1" applyFont="1" applyFill="1" applyBorder="1" applyAlignment="1" applyProtection="1">
      <alignment horizontal="left" vertical="center" wrapText="1"/>
    </xf>
    <xf numFmtId="0" fontId="14" fillId="10" borderId="6" xfId="0" applyFont="1" applyFill="1" applyBorder="1" applyAlignment="1">
      <alignment horizontal="center" vertical="center"/>
    </xf>
    <xf numFmtId="0" fontId="12" fillId="0" borderId="6" xfId="0" applyNumberFormat="1" applyFont="1" applyFill="1" applyBorder="1" applyAlignment="1" applyProtection="1">
      <alignment vertical="center"/>
    </xf>
    <xf numFmtId="176" fontId="12" fillId="11" borderId="6" xfId="0" applyNumberFormat="1" applyFont="1" applyFill="1" applyBorder="1" applyAlignment="1">
      <alignment horizontal="right" vertical="center"/>
    </xf>
    <xf numFmtId="176" fontId="12" fillId="2" borderId="6" xfId="0" applyNumberFormat="1" applyFont="1" applyFill="1" applyBorder="1" applyAlignment="1">
      <alignment horizontal="right" vertical="center"/>
    </xf>
    <xf numFmtId="49" fontId="12" fillId="0" borderId="6" xfId="0" applyNumberFormat="1" applyFont="1" applyFill="1" applyBorder="1" applyAlignment="1" applyProtection="1">
      <alignment horizontal="center" vertical="center" wrapText="1"/>
    </xf>
    <xf numFmtId="0" fontId="15" fillId="0" borderId="6" xfId="0" applyNumberFormat="1" applyFont="1" applyFill="1" applyBorder="1" applyAlignment="1" applyProtection="1">
      <alignment horizontal="center" vertical="center" wrapText="1"/>
    </xf>
    <xf numFmtId="0" fontId="15" fillId="0" borderId="6" xfId="0" applyNumberFormat="1" applyFont="1" applyFill="1" applyBorder="1" applyAlignment="1" applyProtection="1">
      <alignment horizontal="center" vertical="center"/>
    </xf>
    <xf numFmtId="0" fontId="14" fillId="2" borderId="6" xfId="0" applyFont="1" applyFill="1" applyBorder="1" applyAlignment="1">
      <alignment horizontal="center" vertical="center"/>
    </xf>
    <xf numFmtId="179" fontId="15" fillId="0" borderId="6" xfId="0" applyNumberFormat="1" applyFont="1" applyFill="1" applyBorder="1" applyAlignment="1" applyProtection="1">
      <alignment horizontal="center" vertical="center"/>
    </xf>
    <xf numFmtId="49" fontId="15" fillId="0" borderId="6" xfId="0" applyNumberFormat="1" applyFont="1" applyFill="1" applyBorder="1" applyAlignment="1" applyProtection="1">
      <alignment horizontal="center" vertical="center"/>
    </xf>
    <xf numFmtId="178" fontId="15" fillId="0" borderId="6" xfId="0" applyNumberFormat="1" applyFont="1" applyFill="1" applyBorder="1" applyAlignment="1" applyProtection="1">
      <alignment horizontal="center" vertical="center"/>
    </xf>
    <xf numFmtId="0" fontId="14" fillId="0" borderId="6" xfId="0" applyFont="1" applyFill="1" applyBorder="1" applyAlignment="1">
      <alignment vertical="center" wrapText="1"/>
    </xf>
    <xf numFmtId="0" fontId="14" fillId="0" borderId="4" xfId="0" applyNumberFormat="1" applyFont="1" applyFill="1" applyBorder="1" applyAlignment="1" applyProtection="1">
      <alignment horizontal="center" vertical="center"/>
    </xf>
    <xf numFmtId="178" fontId="14" fillId="0" borderId="6" xfId="0" applyNumberFormat="1" applyFont="1" applyFill="1" applyBorder="1" applyAlignment="1" applyProtection="1">
      <alignment horizontal="center" vertical="center" wrapText="1"/>
    </xf>
    <xf numFmtId="0" fontId="12" fillId="0" borderId="4" xfId="0" applyFont="1" applyFill="1" applyBorder="1" applyAlignment="1">
      <alignment horizontal="center" vertical="center"/>
    </xf>
    <xf numFmtId="180" fontId="12" fillId="0" borderId="6" xfId="0" applyNumberFormat="1" applyFont="1" applyBorder="1" applyAlignment="1">
      <alignment horizontal="center" vertical="center"/>
    </xf>
    <xf numFmtId="176" fontId="15" fillId="11" borderId="6" xfId="0" applyNumberFormat="1" applyFont="1" applyFill="1" applyBorder="1" applyAlignment="1">
      <alignment horizontal="right" vertical="center"/>
    </xf>
    <xf numFmtId="49" fontId="14" fillId="0" borderId="0" xfId="0" applyNumberFormat="1" applyFont="1" applyFill="1" applyBorder="1" applyAlignment="1" applyProtection="1">
      <alignment horizontal="center" vertical="center" wrapText="1"/>
    </xf>
    <xf numFmtId="49" fontId="14" fillId="0" borderId="0" xfId="0" applyNumberFormat="1" applyFont="1" applyFill="1" applyBorder="1" applyAlignment="1" applyProtection="1">
      <alignment horizontal="center" vertical="center"/>
    </xf>
    <xf numFmtId="0" fontId="12" fillId="0" borderId="0" xfId="0" applyNumberFormat="1" applyFont="1" applyFill="1" applyBorder="1" applyAlignment="1" applyProtection="1">
      <alignment horizontal="center" vertical="center"/>
    </xf>
    <xf numFmtId="49" fontId="12" fillId="0" borderId="0" xfId="0" applyNumberFormat="1" applyFont="1" applyFill="1" applyBorder="1" applyAlignment="1" applyProtection="1">
      <alignment horizontal="center" vertical="center"/>
    </xf>
    <xf numFmtId="179" fontId="12" fillId="0" borderId="0" xfId="0" applyNumberFormat="1" applyFont="1" applyFill="1" applyBorder="1" applyAlignment="1" applyProtection="1">
      <alignment horizontal="center" vertical="center"/>
    </xf>
    <xf numFmtId="0" fontId="14" fillId="0" borderId="0" xfId="0" applyNumberFormat="1" applyFont="1" applyFill="1" applyBorder="1" applyAlignment="1" applyProtection="1">
      <alignment horizontal="center" vertical="center" wrapText="1"/>
    </xf>
    <xf numFmtId="178" fontId="14" fillId="0" borderId="0" xfId="0" applyNumberFormat="1" applyFont="1" applyFill="1" applyBorder="1" applyAlignment="1" applyProtection="1">
      <alignment horizontal="center" vertical="center"/>
    </xf>
    <xf numFmtId="0" fontId="14" fillId="0" borderId="0" xfId="0" applyNumberFormat="1" applyFont="1" applyFill="1" applyBorder="1" applyAlignment="1" applyProtection="1">
      <alignment horizontal="center" vertical="center"/>
    </xf>
    <xf numFmtId="179" fontId="14" fillId="0" borderId="0" xfId="0" applyNumberFormat="1" applyFont="1" applyFill="1" applyBorder="1" applyAlignment="1" applyProtection="1">
      <alignment horizontal="center" vertical="center"/>
    </xf>
    <xf numFmtId="178" fontId="12" fillId="0" borderId="0" xfId="0" applyNumberFormat="1" applyFont="1" applyFill="1" applyBorder="1" applyAlignment="1" applyProtection="1">
      <alignment horizontal="center" vertical="center"/>
    </xf>
    <xf numFmtId="14" fontId="12" fillId="0" borderId="0" xfId="0" applyNumberFormat="1" applyFont="1" applyFill="1" applyBorder="1" applyAlignment="1" applyProtection="1">
      <alignment horizontal="center" vertical="center"/>
    </xf>
    <xf numFmtId="177" fontId="12" fillId="0" borderId="0" xfId="0" applyNumberFormat="1" applyFont="1" applyBorder="1" applyAlignment="1">
      <alignment horizontal="center" vertical="center"/>
    </xf>
    <xf numFmtId="0" fontId="12" fillId="0" borderId="0" xfId="0" applyFont="1" applyFill="1" applyBorder="1" applyAlignment="1">
      <alignment horizontal="center" vertical="center" wrapText="1"/>
    </xf>
    <xf numFmtId="176" fontId="14" fillId="2" borderId="6" xfId="0" applyNumberFormat="1" applyFont="1" applyFill="1" applyBorder="1" applyAlignment="1">
      <alignment horizontal="center" vertical="center" wrapText="1"/>
    </xf>
    <xf numFmtId="176" fontId="14" fillId="0" borderId="6" xfId="0" applyNumberFormat="1" applyFont="1" applyFill="1" applyBorder="1" applyAlignment="1">
      <alignment horizontal="center" vertical="center" wrapText="1"/>
    </xf>
    <xf numFmtId="176" fontId="12" fillId="2" borderId="6" xfId="0" applyNumberFormat="1" applyFont="1" applyFill="1" applyBorder="1" applyAlignment="1">
      <alignment horizontal="center" vertical="center" wrapText="1"/>
    </xf>
    <xf numFmtId="176" fontId="12" fillId="2" borderId="0" xfId="0" applyNumberFormat="1" applyFont="1" applyFill="1" applyBorder="1" applyAlignment="1">
      <alignment horizontal="center" vertical="center" wrapText="1"/>
    </xf>
    <xf numFmtId="176" fontId="12" fillId="0" borderId="0" xfId="0" applyNumberFormat="1" applyFont="1" applyFill="1" applyBorder="1" applyAlignment="1">
      <alignment horizontal="center" vertical="center" wrapText="1"/>
    </xf>
    <xf numFmtId="178" fontId="19" fillId="0" borderId="6" xfId="0" applyNumberFormat="1" applyFont="1" applyFill="1" applyBorder="1" applyAlignment="1" applyProtection="1">
      <alignment horizontal="center" vertical="center"/>
    </xf>
    <xf numFmtId="0" fontId="16" fillId="0" borderId="6" xfId="0" applyNumberFormat="1" applyFont="1" applyFill="1" applyBorder="1" applyAlignment="1" applyProtection="1">
      <alignment horizontal="center" vertical="center"/>
    </xf>
    <xf numFmtId="49" fontId="16" fillId="0" borderId="6" xfId="0" applyNumberFormat="1" applyFont="1" applyFill="1" applyBorder="1" applyAlignment="1" applyProtection="1">
      <alignment horizontal="center" vertical="center"/>
    </xf>
    <xf numFmtId="49" fontId="19" fillId="0" borderId="6" xfId="0" applyNumberFormat="1" applyFont="1" applyFill="1" applyBorder="1" applyAlignment="1" applyProtection="1">
      <alignment horizontal="center" vertical="center" wrapText="1"/>
    </xf>
    <xf numFmtId="49" fontId="19" fillId="0" borderId="6" xfId="0" applyNumberFormat="1" applyFont="1" applyFill="1" applyBorder="1" applyAlignment="1" applyProtection="1">
      <alignment horizontal="center" vertical="center"/>
    </xf>
    <xf numFmtId="0" fontId="16" fillId="0" borderId="6" xfId="0" applyNumberFormat="1" applyFont="1" applyFill="1" applyBorder="1" applyAlignment="1" applyProtection="1">
      <alignment horizontal="center" vertical="center" wrapText="1"/>
    </xf>
    <xf numFmtId="0" fontId="14" fillId="2" borderId="6" xfId="0" applyNumberFormat="1" applyFont="1" applyFill="1" applyBorder="1" applyAlignment="1" applyProtection="1">
      <alignment horizontal="center" vertical="center" wrapText="1"/>
    </xf>
    <xf numFmtId="0" fontId="14" fillId="2" borderId="6" xfId="0" applyNumberFormat="1" applyFont="1" applyFill="1" applyBorder="1" applyAlignment="1" applyProtection="1">
      <alignment horizontal="center" vertical="center"/>
    </xf>
    <xf numFmtId="0" fontId="12" fillId="2" borderId="6" xfId="0" applyNumberFormat="1" applyFont="1" applyFill="1" applyBorder="1" applyAlignment="1" applyProtection="1">
      <alignment horizontal="center" vertical="center"/>
    </xf>
    <xf numFmtId="49" fontId="12" fillId="2" borderId="6" xfId="0" applyNumberFormat="1" applyFont="1" applyFill="1" applyBorder="1" applyAlignment="1" applyProtection="1">
      <alignment horizontal="center" vertical="center"/>
    </xf>
    <xf numFmtId="179" fontId="12" fillId="2" borderId="6" xfId="0" applyNumberFormat="1" applyFont="1" applyFill="1" applyBorder="1" applyAlignment="1" applyProtection="1">
      <alignment horizontal="center" vertical="center"/>
    </xf>
    <xf numFmtId="180" fontId="16" fillId="0" borderId="6" xfId="0" applyNumberFormat="1" applyFont="1" applyFill="1" applyBorder="1" applyAlignment="1" applyProtection="1">
      <alignment horizontal="center" vertical="center"/>
    </xf>
    <xf numFmtId="179" fontId="14" fillId="2" borderId="6" xfId="0" applyNumberFormat="1" applyFont="1" applyFill="1" applyBorder="1" applyAlignment="1" applyProtection="1">
      <alignment horizontal="center" vertical="center"/>
    </xf>
    <xf numFmtId="49" fontId="14" fillId="2" borderId="6" xfId="0" applyNumberFormat="1" applyFont="1" applyFill="1" applyBorder="1" applyAlignment="1" applyProtection="1">
      <alignment horizontal="center" vertical="center"/>
    </xf>
    <xf numFmtId="178" fontId="16" fillId="0" borderId="6" xfId="0" applyNumberFormat="1" applyFont="1" applyFill="1" applyBorder="1" applyAlignment="1" applyProtection="1">
      <alignment horizontal="center" vertical="center"/>
    </xf>
    <xf numFmtId="178" fontId="14" fillId="2" borderId="6" xfId="0" applyNumberFormat="1" applyFont="1" applyFill="1" applyBorder="1" applyAlignment="1" applyProtection="1">
      <alignment horizontal="center" vertical="center"/>
    </xf>
    <xf numFmtId="178" fontId="12" fillId="2" borderId="6" xfId="0" applyNumberFormat="1" applyFont="1" applyFill="1" applyBorder="1" applyAlignment="1" applyProtection="1">
      <alignment horizontal="center" vertical="center"/>
    </xf>
    <xf numFmtId="14" fontId="16" fillId="0" borderId="6" xfId="0" applyNumberFormat="1" applyFont="1" applyFill="1" applyBorder="1" applyAlignment="1" applyProtection="1">
      <alignment horizontal="center" vertical="center"/>
    </xf>
    <xf numFmtId="14" fontId="19" fillId="0" borderId="6" xfId="0" applyNumberFormat="1" applyFont="1" applyFill="1" applyBorder="1" applyAlignment="1" applyProtection="1">
      <alignment horizontal="center" vertical="center"/>
    </xf>
    <xf numFmtId="177" fontId="14" fillId="2" borderId="6" xfId="0" applyNumberFormat="1" applyFont="1" applyFill="1" applyBorder="1" applyAlignment="1" applyProtection="1">
      <alignment horizontal="center" vertical="center"/>
    </xf>
    <xf numFmtId="180" fontId="14" fillId="2" borderId="6" xfId="0" applyNumberFormat="1" applyFont="1" applyFill="1" applyBorder="1" applyAlignment="1" applyProtection="1">
      <alignment horizontal="center" vertical="center"/>
    </xf>
    <xf numFmtId="176" fontId="12" fillId="2" borderId="6" xfId="0" applyNumberFormat="1" applyFont="1" applyFill="1" applyBorder="1" applyAlignment="1">
      <alignment horizontal="center" vertical="center"/>
    </xf>
    <xf numFmtId="177" fontId="12" fillId="2" borderId="6" xfId="0" applyNumberFormat="1" applyFont="1" applyFill="1" applyBorder="1" applyAlignment="1">
      <alignment horizontal="center" vertical="center"/>
    </xf>
    <xf numFmtId="176" fontId="12" fillId="0" borderId="0" xfId="0" applyNumberFormat="1" applyFont="1" applyAlignment="1">
      <alignment horizontal="right" vertical="center"/>
    </xf>
    <xf numFmtId="177" fontId="12" fillId="0" borderId="0" xfId="0" applyNumberFormat="1" applyFont="1" applyAlignment="1">
      <alignment horizontal="center" vertical="center"/>
    </xf>
    <xf numFmtId="180" fontId="12" fillId="0" borderId="0" xfId="0" applyNumberFormat="1" applyFont="1">
      <alignment vertical="center"/>
    </xf>
    <xf numFmtId="0" fontId="23" fillId="0" borderId="6" xfId="0" applyFont="1" applyFill="1" applyBorder="1" applyAlignment="1">
      <alignment horizontal="center" vertical="center"/>
    </xf>
    <xf numFmtId="0" fontId="12" fillId="0" borderId="6" xfId="0" applyFont="1" applyBorder="1">
      <alignment vertical="center"/>
    </xf>
    <xf numFmtId="0" fontId="12" fillId="0" borderId="6" xfId="0" applyFont="1" applyBorder="1" applyAlignment="1">
      <alignment horizontal="left" vertical="center"/>
    </xf>
    <xf numFmtId="49" fontId="12" fillId="0" borderId="6" xfId="0" applyNumberFormat="1" applyFont="1" applyBorder="1" applyAlignment="1">
      <alignment horizontal="center" vertical="center"/>
    </xf>
    <xf numFmtId="0" fontId="12" fillId="0" borderId="6" xfId="0" applyFont="1" applyBorder="1" applyAlignment="1">
      <alignment horizontal="center" vertical="center" wrapText="1"/>
    </xf>
    <xf numFmtId="0" fontId="12" fillId="0" borderId="6" xfId="0" applyNumberFormat="1" applyFont="1" applyBorder="1" applyAlignment="1">
      <alignment horizontal="center" vertical="center"/>
    </xf>
    <xf numFmtId="49" fontId="12" fillId="0" borderId="6" xfId="0" applyNumberFormat="1" applyFont="1" applyBorder="1" applyAlignment="1">
      <alignment horizontal="center" vertical="center" wrapText="1"/>
    </xf>
    <xf numFmtId="176" fontId="12" fillId="0" borderId="6" xfId="0" applyNumberFormat="1" applyFont="1" applyBorder="1" applyAlignment="1">
      <alignment horizontal="center" vertical="center"/>
    </xf>
    <xf numFmtId="177" fontId="12" fillId="0" borderId="6" xfId="0" applyNumberFormat="1" applyFont="1" applyFill="1" applyBorder="1" applyAlignment="1">
      <alignment horizontal="center" vertical="center" wrapText="1"/>
    </xf>
    <xf numFmtId="14" fontId="12" fillId="0" borderId="6" xfId="0" applyNumberFormat="1" applyFont="1" applyFill="1" applyBorder="1" applyAlignment="1">
      <alignment horizontal="center" vertical="center"/>
    </xf>
    <xf numFmtId="177" fontId="8" fillId="0" borderId="6" xfId="0" applyNumberFormat="1" applyFont="1" applyFill="1" applyBorder="1" applyAlignment="1">
      <alignment vertical="center"/>
    </xf>
    <xf numFmtId="180" fontId="8" fillId="0" borderId="0" xfId="0" applyNumberFormat="1" applyFont="1" applyFill="1" applyAlignment="1">
      <alignment vertical="center"/>
    </xf>
    <xf numFmtId="177" fontId="8" fillId="0" borderId="0" xfId="0" applyNumberFormat="1" applyFont="1" applyFill="1" applyAlignment="1">
      <alignment vertical="center"/>
    </xf>
    <xf numFmtId="0" fontId="8" fillId="0" borderId="0" xfId="0" applyFont="1" applyFill="1" applyAlignment="1">
      <alignment vertical="center" wrapText="1"/>
    </xf>
    <xf numFmtId="177" fontId="12" fillId="0" borderId="6" xfId="0" applyNumberFormat="1" applyFont="1" applyFill="1" applyBorder="1" applyAlignment="1">
      <alignment vertical="center"/>
    </xf>
    <xf numFmtId="180" fontId="12" fillId="0" borderId="0" xfId="0" applyNumberFormat="1" applyFont="1" applyFill="1" applyAlignment="1">
      <alignment vertical="center"/>
    </xf>
    <xf numFmtId="177" fontId="12" fillId="0" borderId="0" xfId="0" applyNumberFormat="1" applyFont="1" applyFill="1" applyAlignment="1">
      <alignment vertical="center"/>
    </xf>
    <xf numFmtId="0" fontId="12" fillId="2" borderId="0" xfId="0" applyFont="1" applyFill="1" applyAlignment="1">
      <alignment vertical="center"/>
    </xf>
    <xf numFmtId="0" fontId="15" fillId="0" borderId="0" xfId="0" applyFont="1" applyFill="1" applyBorder="1" applyAlignment="1">
      <alignment horizontal="center" vertical="center"/>
    </xf>
    <xf numFmtId="0" fontId="12" fillId="12" borderId="0" xfId="0" applyFont="1" applyFill="1">
      <alignment vertical="center"/>
    </xf>
    <xf numFmtId="0" fontId="14" fillId="0" borderId="0" xfId="0" applyFont="1">
      <alignment vertical="center"/>
    </xf>
    <xf numFmtId="0" fontId="12" fillId="0" borderId="0" xfId="0" applyFont="1" applyAlignment="1">
      <alignment vertical="center" wrapText="1"/>
    </xf>
    <xf numFmtId="0" fontId="12" fillId="0" borderId="0" xfId="0" applyFont="1" applyBorder="1">
      <alignment vertical="center"/>
    </xf>
    <xf numFmtId="0" fontId="12" fillId="2" borderId="0" xfId="0" applyFont="1" applyFill="1" applyBorder="1">
      <alignment vertical="center"/>
    </xf>
    <xf numFmtId="0" fontId="14" fillId="0" borderId="0" xfId="0" applyFont="1" applyBorder="1">
      <alignment vertical="center"/>
    </xf>
    <xf numFmtId="0" fontId="14" fillId="0" borderId="0" xfId="0" applyFont="1" applyFill="1" applyBorder="1">
      <alignment vertical="center"/>
    </xf>
    <xf numFmtId="0" fontId="12" fillId="0" borderId="0" xfId="0" applyFont="1" applyAlignment="1">
      <alignment horizontal="left" vertical="center"/>
    </xf>
    <xf numFmtId="179" fontId="12" fillId="0" borderId="0" xfId="0" applyNumberFormat="1" applyFont="1" applyFill="1" applyAlignment="1">
      <alignment horizontal="center" vertical="center"/>
    </xf>
    <xf numFmtId="0" fontId="12" fillId="0" borderId="0" xfId="0" applyFont="1" applyAlignment="1">
      <alignment vertical="center"/>
    </xf>
    <xf numFmtId="49" fontId="8" fillId="0" borderId="6" xfId="0" applyNumberFormat="1" applyFont="1" applyFill="1" applyBorder="1" applyAlignment="1">
      <alignment horizontal="center" vertical="center"/>
    </xf>
    <xf numFmtId="179" fontId="8" fillId="0" borderId="6" xfId="0" applyNumberFormat="1" applyFont="1" applyFill="1" applyBorder="1" applyAlignment="1">
      <alignment horizontal="center" vertical="center" wrapText="1"/>
    </xf>
    <xf numFmtId="179" fontId="12" fillId="0" borderId="6" xfId="0" applyNumberFormat="1" applyFont="1" applyFill="1" applyBorder="1" applyAlignment="1">
      <alignment horizontal="center" vertical="center"/>
    </xf>
    <xf numFmtId="0" fontId="8" fillId="2" borderId="6" xfId="0" applyNumberFormat="1" applyFont="1" applyFill="1" applyBorder="1" applyAlignment="1">
      <alignment horizontal="center" vertical="center" wrapText="1"/>
    </xf>
    <xf numFmtId="176" fontId="8" fillId="2" borderId="6" xfId="0" applyNumberFormat="1" applyFont="1" applyFill="1" applyBorder="1" applyAlignment="1">
      <alignment horizontal="center" vertical="center" wrapText="1"/>
    </xf>
    <xf numFmtId="176" fontId="8" fillId="2" borderId="6" xfId="36" applyNumberFormat="1" applyFont="1" applyFill="1" applyBorder="1" applyAlignment="1">
      <alignment horizontal="center" vertical="center" wrapText="1"/>
    </xf>
    <xf numFmtId="178" fontId="8" fillId="0" borderId="6" xfId="36" applyNumberFormat="1" applyFont="1" applyBorder="1" applyAlignment="1">
      <alignment horizontal="center" vertical="center" wrapText="1"/>
    </xf>
    <xf numFmtId="0" fontId="8" fillId="9" borderId="6" xfId="0" applyFont="1" applyFill="1" applyBorder="1" applyAlignment="1">
      <alignment horizontal="center" vertical="center" wrapText="1"/>
    </xf>
    <xf numFmtId="177" fontId="8" fillId="0" borderId="6" xfId="0" applyNumberFormat="1" applyFont="1" applyFill="1" applyBorder="1" applyAlignment="1">
      <alignment horizontal="center" vertical="center" wrapText="1"/>
    </xf>
    <xf numFmtId="176" fontId="8" fillId="6" borderId="6" xfId="0" applyNumberFormat="1" applyFont="1" applyFill="1" applyBorder="1" applyAlignment="1">
      <alignment horizontal="center" vertical="center" wrapText="1"/>
    </xf>
    <xf numFmtId="180" fontId="8" fillId="0" borderId="0" xfId="0" applyNumberFormat="1" applyFont="1" applyFill="1" applyAlignment="1">
      <alignment horizontal="center" vertical="center" wrapText="1"/>
    </xf>
    <xf numFmtId="0" fontId="12" fillId="0" borderId="0" xfId="0" applyFont="1" applyFill="1" applyBorder="1" applyAlignment="1">
      <alignment vertical="center"/>
    </xf>
    <xf numFmtId="0" fontId="12" fillId="2" borderId="6" xfId="0" applyFont="1" applyFill="1" applyBorder="1" applyAlignment="1">
      <alignment horizontal="left" vertical="center"/>
    </xf>
    <xf numFmtId="0" fontId="12" fillId="2" borderId="6" xfId="0" applyFont="1" applyFill="1" applyBorder="1" applyAlignment="1">
      <alignment horizontal="center" vertical="center" wrapText="1"/>
    </xf>
    <xf numFmtId="0" fontId="12" fillId="2" borderId="6" xfId="0" applyFont="1" applyFill="1" applyBorder="1" applyAlignment="1">
      <alignment vertical="center"/>
    </xf>
    <xf numFmtId="49" fontId="14" fillId="0" borderId="6" xfId="0" applyNumberFormat="1" applyFont="1" applyFill="1" applyBorder="1" applyAlignment="1">
      <alignment horizontal="center" vertical="center" wrapText="1"/>
    </xf>
    <xf numFmtId="178" fontId="12" fillId="0" borderId="6" xfId="0" applyNumberFormat="1" applyFont="1" applyFill="1" applyBorder="1" applyAlignment="1">
      <alignment horizontal="center" vertical="center"/>
    </xf>
    <xf numFmtId="179" fontId="12" fillId="2" borderId="6" xfId="0" applyNumberFormat="1" applyFont="1" applyFill="1" applyBorder="1" applyAlignment="1">
      <alignment horizontal="center" vertical="center"/>
    </xf>
    <xf numFmtId="182" fontId="14" fillId="0" borderId="6" xfId="0" applyNumberFormat="1" applyFont="1" applyFill="1" applyBorder="1" applyAlignment="1">
      <alignment horizontal="center" vertical="center"/>
    </xf>
    <xf numFmtId="0" fontId="12" fillId="0" borderId="6" xfId="0" applyNumberFormat="1" applyFont="1" applyFill="1" applyBorder="1" applyAlignment="1">
      <alignment horizontal="center" vertical="center" wrapText="1"/>
    </xf>
    <xf numFmtId="178" fontId="12" fillId="0" borderId="6" xfId="0" applyNumberFormat="1" applyFont="1" applyFill="1" applyBorder="1" applyAlignment="1">
      <alignment horizontal="center" vertical="center" wrapText="1"/>
    </xf>
    <xf numFmtId="181" fontId="12" fillId="0" borderId="0" xfId="0" applyNumberFormat="1" applyFont="1" applyFill="1" applyBorder="1" applyAlignment="1">
      <alignment horizontal="center" vertical="center"/>
    </xf>
    <xf numFmtId="0" fontId="12" fillId="2" borderId="6" xfId="0" applyFont="1" applyFill="1" applyBorder="1" applyAlignment="1">
      <alignment vertical="center" wrapText="1"/>
    </xf>
    <xf numFmtId="177" fontId="12" fillId="2" borderId="0" xfId="0" applyNumberFormat="1" applyFont="1" applyFill="1" applyAlignment="1">
      <alignment horizontal="center" vertical="center"/>
    </xf>
    <xf numFmtId="0" fontId="14" fillId="0" borderId="6" xfId="0" applyFont="1" applyFill="1" applyBorder="1" applyAlignment="1">
      <alignment vertical="center"/>
    </xf>
    <xf numFmtId="49" fontId="24" fillId="0" borderId="6" xfId="0" applyNumberFormat="1" applyFont="1" applyFill="1" applyBorder="1" applyAlignment="1">
      <alignment horizontal="center" vertical="center" wrapText="1"/>
    </xf>
    <xf numFmtId="179" fontId="14" fillId="0" borderId="6" xfId="0" applyNumberFormat="1" applyFont="1" applyFill="1" applyBorder="1" applyAlignment="1">
      <alignment horizontal="center" vertical="center"/>
    </xf>
    <xf numFmtId="0" fontId="14" fillId="0" borderId="6" xfId="0" applyNumberFormat="1" applyFont="1" applyFill="1" applyBorder="1" applyAlignment="1">
      <alignment horizontal="center" vertical="center" wrapText="1"/>
    </xf>
    <xf numFmtId="181" fontId="14" fillId="0" borderId="6" xfId="0" applyNumberFormat="1" applyFont="1" applyFill="1" applyBorder="1" applyAlignment="1">
      <alignment horizontal="center" vertical="center"/>
    </xf>
    <xf numFmtId="177" fontId="14" fillId="0" borderId="0" xfId="0" applyNumberFormat="1" applyFont="1" applyFill="1" applyAlignment="1">
      <alignment horizontal="center" vertical="center"/>
    </xf>
    <xf numFmtId="0" fontId="14" fillId="0" borderId="6" xfId="0" applyFont="1" applyFill="1" applyBorder="1" applyAlignment="1">
      <alignment horizontal="left" vertical="center" wrapText="1"/>
    </xf>
    <xf numFmtId="49" fontId="14" fillId="10" borderId="6" xfId="0" applyNumberFormat="1" applyFont="1" applyFill="1" applyBorder="1" applyAlignment="1">
      <alignment horizontal="center" vertical="center" wrapText="1"/>
    </xf>
    <xf numFmtId="179" fontId="15" fillId="0" borderId="6" xfId="0" applyNumberFormat="1" applyFont="1" applyFill="1" applyBorder="1" applyAlignment="1">
      <alignment horizontal="center" vertical="center"/>
    </xf>
    <xf numFmtId="179" fontId="12" fillId="0" borderId="6" xfId="0" applyNumberFormat="1" applyFont="1" applyFill="1" applyBorder="1" applyAlignment="1">
      <alignment horizontal="center" vertical="center" wrapText="1"/>
    </xf>
    <xf numFmtId="178" fontId="12" fillId="0" borderId="0" xfId="0" applyNumberFormat="1" applyFont="1" applyFill="1" applyBorder="1" applyAlignment="1">
      <alignment horizontal="center" vertical="center"/>
    </xf>
    <xf numFmtId="178" fontId="12" fillId="0" borderId="6" xfId="0" applyNumberFormat="1" applyFont="1" applyBorder="1" applyAlignment="1">
      <alignment horizontal="center" vertical="center"/>
    </xf>
    <xf numFmtId="0" fontId="12" fillId="0" borderId="6" xfId="0" applyNumberFormat="1" applyFont="1" applyBorder="1" applyAlignment="1">
      <alignment horizontal="center" vertical="center" wrapText="1"/>
    </xf>
    <xf numFmtId="181" fontId="12" fillId="0" borderId="6" xfId="0" applyNumberFormat="1" applyFont="1" applyBorder="1" applyAlignment="1">
      <alignment horizontal="center" vertical="center"/>
    </xf>
    <xf numFmtId="0" fontId="12" fillId="0" borderId="6" xfId="0" applyFont="1" applyBorder="1" applyAlignment="1">
      <alignment vertical="center"/>
    </xf>
    <xf numFmtId="0" fontId="14" fillId="0" borderId="6" xfId="0" applyFont="1" applyBorder="1" applyAlignment="1">
      <alignment horizontal="center" vertical="center"/>
    </xf>
    <xf numFmtId="0" fontId="14" fillId="0" borderId="6" xfId="0" applyFont="1" applyBorder="1" applyAlignment="1">
      <alignment vertical="center"/>
    </xf>
    <xf numFmtId="177" fontId="12" fillId="0" borderId="6" xfId="0" applyNumberFormat="1" applyFont="1" applyBorder="1" applyAlignment="1">
      <alignment horizontal="center" vertical="center" wrapText="1"/>
    </xf>
    <xf numFmtId="0" fontId="12" fillId="0" borderId="6" xfId="0" applyFont="1" applyBorder="1" applyAlignment="1">
      <alignment vertical="center" wrapText="1"/>
    </xf>
    <xf numFmtId="176" fontId="14" fillId="11" borderId="6" xfId="0" applyNumberFormat="1" applyFont="1" applyFill="1" applyBorder="1" applyAlignment="1">
      <alignment horizontal="right" vertical="center"/>
    </xf>
    <xf numFmtId="0" fontId="14" fillId="2" borderId="6" xfId="0" applyFont="1" applyFill="1" applyBorder="1" applyAlignment="1">
      <alignment vertical="center" wrapText="1"/>
    </xf>
    <xf numFmtId="177" fontId="14" fillId="0" borderId="6" xfId="0" applyNumberFormat="1" applyFont="1" applyBorder="1" applyAlignment="1">
      <alignment horizontal="center" vertical="center"/>
    </xf>
    <xf numFmtId="176" fontId="14" fillId="0" borderId="6" xfId="0" applyNumberFormat="1" applyFont="1" applyBorder="1" applyAlignment="1">
      <alignment horizontal="center" vertical="center"/>
    </xf>
    <xf numFmtId="0" fontId="14" fillId="0" borderId="6" xfId="0" applyFont="1" applyBorder="1" applyAlignment="1">
      <alignment vertical="center" wrapText="1"/>
    </xf>
    <xf numFmtId="177" fontId="14" fillId="0" borderId="0" xfId="0" applyNumberFormat="1" applyFont="1" applyFill="1" applyBorder="1" applyAlignment="1">
      <alignment horizontal="center" vertical="center"/>
    </xf>
    <xf numFmtId="49" fontId="14" fillId="0" borderId="6" xfId="0" applyNumberFormat="1" applyFont="1" applyBorder="1" applyAlignment="1">
      <alignment horizontal="center" vertical="center" wrapText="1"/>
    </xf>
    <xf numFmtId="0" fontId="12" fillId="10" borderId="6" xfId="0" applyFont="1" applyFill="1" applyBorder="1" applyAlignment="1">
      <alignment horizontal="center" vertical="center" wrapText="1"/>
    </xf>
    <xf numFmtId="49" fontId="12" fillId="10" borderId="6" xfId="0" applyNumberFormat="1" applyFont="1" applyFill="1" applyBorder="1" applyAlignment="1">
      <alignment horizontal="center" vertical="center" wrapText="1"/>
    </xf>
    <xf numFmtId="0" fontId="12" fillId="0" borderId="6" xfId="0" applyFont="1" applyBorder="1" applyAlignment="1">
      <alignment horizontal="justify" vertical="center"/>
    </xf>
    <xf numFmtId="0" fontId="14" fillId="0" borderId="6" xfId="0" applyFont="1" applyBorder="1" applyAlignment="1">
      <alignment horizontal="center" vertical="center" wrapText="1"/>
    </xf>
    <xf numFmtId="49" fontId="14" fillId="0" borderId="6" xfId="0" applyNumberFormat="1" applyFont="1" applyBorder="1" applyAlignment="1">
      <alignment horizontal="center" vertical="center"/>
    </xf>
    <xf numFmtId="178" fontId="12" fillId="0" borderId="6" xfId="0" applyNumberFormat="1" applyFont="1" applyBorder="1" applyAlignment="1">
      <alignment horizontal="center" vertical="center" wrapText="1"/>
    </xf>
    <xf numFmtId="181" fontId="12" fillId="0" borderId="0" xfId="0" applyNumberFormat="1" applyFont="1" applyBorder="1" applyAlignment="1">
      <alignment horizontal="center" vertical="center"/>
    </xf>
    <xf numFmtId="178" fontId="14" fillId="0" borderId="6" xfId="0" applyNumberFormat="1" applyFont="1" applyBorder="1" applyAlignment="1">
      <alignment horizontal="center" vertical="center"/>
    </xf>
    <xf numFmtId="178" fontId="14" fillId="10" borderId="6" xfId="0" applyNumberFormat="1" applyFont="1" applyFill="1" applyBorder="1" applyAlignment="1">
      <alignment horizontal="center" vertical="center"/>
    </xf>
    <xf numFmtId="0" fontId="12" fillId="10" borderId="6" xfId="0" applyFont="1" applyFill="1" applyBorder="1">
      <alignment vertical="center"/>
    </xf>
    <xf numFmtId="178" fontId="12" fillId="10" borderId="6" xfId="0" applyNumberFormat="1" applyFont="1" applyFill="1" applyBorder="1" applyAlignment="1">
      <alignment horizontal="center" vertical="center"/>
    </xf>
    <xf numFmtId="0" fontId="12" fillId="10" borderId="6" xfId="0" applyFont="1" applyFill="1" applyBorder="1" applyAlignment="1">
      <alignment horizontal="center" vertical="center"/>
    </xf>
    <xf numFmtId="0" fontId="14" fillId="0" borderId="6" xfId="0" applyFont="1" applyBorder="1">
      <alignment vertical="center"/>
    </xf>
    <xf numFmtId="177" fontId="12" fillId="10" borderId="6" xfId="0" applyNumberFormat="1" applyFont="1" applyFill="1" applyBorder="1" applyAlignment="1">
      <alignment horizontal="center" vertical="center"/>
    </xf>
    <xf numFmtId="0" fontId="15" fillId="0" borderId="6" xfId="0" applyFont="1" applyBorder="1" applyAlignment="1">
      <alignment horizontal="center" vertical="center"/>
    </xf>
    <xf numFmtId="0" fontId="12" fillId="2" borderId="6" xfId="0" applyNumberFormat="1" applyFont="1" applyFill="1" applyBorder="1" applyAlignment="1">
      <alignment horizontal="center" vertical="center"/>
    </xf>
    <xf numFmtId="49" fontId="12" fillId="0" borderId="0" xfId="0" applyNumberFormat="1" applyFont="1" applyBorder="1" applyAlignment="1">
      <alignment horizontal="center" vertical="center" wrapText="1"/>
    </xf>
    <xf numFmtId="0" fontId="15" fillId="0" borderId="6" xfId="0" applyFont="1" applyFill="1" applyBorder="1" applyAlignment="1">
      <alignment horizontal="center" vertical="center"/>
    </xf>
    <xf numFmtId="182" fontId="15" fillId="0" borderId="6" xfId="0" applyNumberFormat="1" applyFont="1" applyFill="1" applyBorder="1" applyAlignment="1">
      <alignment horizontal="center" vertical="center"/>
    </xf>
    <xf numFmtId="0" fontId="12" fillId="2" borderId="6" xfId="0" applyFont="1" applyFill="1" applyBorder="1">
      <alignment vertical="center"/>
    </xf>
    <xf numFmtId="182" fontId="14" fillId="2" borderId="6" xfId="0" applyNumberFormat="1" applyFont="1" applyFill="1" applyBorder="1" applyAlignment="1">
      <alignment horizontal="center" vertical="center"/>
    </xf>
    <xf numFmtId="178" fontId="15" fillId="0" borderId="6" xfId="0" applyNumberFormat="1" applyFont="1" applyFill="1" applyBorder="1" applyAlignment="1">
      <alignment horizontal="center" vertical="center"/>
    </xf>
    <xf numFmtId="178" fontId="12" fillId="0" borderId="0" xfId="0" applyNumberFormat="1" applyFont="1" applyBorder="1" applyAlignment="1">
      <alignment horizontal="center" vertical="center"/>
    </xf>
    <xf numFmtId="181" fontId="12" fillId="0" borderId="2" xfId="0" applyNumberFormat="1" applyFont="1" applyFill="1" applyBorder="1" applyAlignment="1">
      <alignment horizontal="center" vertical="center"/>
    </xf>
    <xf numFmtId="181" fontId="12" fillId="0" borderId="4" xfId="0" applyNumberFormat="1" applyFont="1" applyBorder="1" applyAlignment="1">
      <alignment horizontal="center" vertical="center"/>
    </xf>
    <xf numFmtId="0" fontId="12" fillId="0" borderId="4" xfId="0" applyNumberFormat="1" applyFont="1" applyBorder="1" applyAlignment="1">
      <alignment horizontal="center" vertical="center"/>
    </xf>
    <xf numFmtId="178" fontId="12" fillId="0" borderId="2" xfId="0" applyNumberFormat="1" applyFont="1" applyFill="1" applyBorder="1" applyAlignment="1">
      <alignment horizontal="center" vertical="center"/>
    </xf>
    <xf numFmtId="0" fontId="12" fillId="0" borderId="4" xfId="0" applyFont="1" applyBorder="1" applyAlignment="1">
      <alignment horizontal="center" vertical="center"/>
    </xf>
    <xf numFmtId="0" fontId="12" fillId="2" borderId="0" xfId="0" applyFont="1" applyFill="1" applyBorder="1" applyAlignment="1">
      <alignment horizontal="center" vertical="center"/>
    </xf>
    <xf numFmtId="14" fontId="12" fillId="2" borderId="6" xfId="0" applyNumberFormat="1" applyFont="1" applyFill="1" applyBorder="1">
      <alignment vertical="center"/>
    </xf>
    <xf numFmtId="0" fontId="14" fillId="2" borderId="0" xfId="0" applyFont="1" applyFill="1">
      <alignment vertical="center"/>
    </xf>
    <xf numFmtId="49" fontId="12" fillId="0" borderId="0" xfId="0" applyNumberFormat="1" applyFont="1" applyBorder="1" applyAlignment="1">
      <alignment horizontal="center" vertical="center"/>
    </xf>
    <xf numFmtId="49" fontId="24" fillId="0" borderId="6" xfId="0" applyNumberFormat="1" applyFont="1" applyBorder="1" applyAlignment="1">
      <alignment horizontal="center" vertical="center" wrapText="1"/>
    </xf>
    <xf numFmtId="0" fontId="14" fillId="10" borderId="0" xfId="0" applyFont="1" applyFill="1" applyBorder="1">
      <alignment vertical="center"/>
    </xf>
    <xf numFmtId="0" fontId="14" fillId="10" borderId="6" xfId="0" applyFont="1" applyFill="1" applyBorder="1">
      <alignment vertical="center"/>
    </xf>
    <xf numFmtId="178" fontId="14" fillId="0" borderId="6" xfId="0" applyNumberFormat="1" applyFont="1" applyFill="1" applyBorder="1" applyAlignment="1">
      <alignment horizontal="center" vertical="center" wrapText="1"/>
    </xf>
    <xf numFmtId="181" fontId="14" fillId="0" borderId="0" xfId="0" applyNumberFormat="1" applyFont="1" applyFill="1" applyBorder="1" applyAlignment="1">
      <alignment horizontal="center" vertical="center"/>
    </xf>
    <xf numFmtId="0" fontId="14" fillId="0" borderId="6" xfId="0" applyNumberFormat="1" applyFont="1" applyBorder="1" applyAlignment="1">
      <alignment horizontal="center" vertical="center" wrapText="1"/>
    </xf>
    <xf numFmtId="181" fontId="14" fillId="0" borderId="6" xfId="0" applyNumberFormat="1" applyFont="1" applyBorder="1" applyAlignment="1">
      <alignment horizontal="center" vertical="center"/>
    </xf>
    <xf numFmtId="0" fontId="12" fillId="0" borderId="0" xfId="0" applyNumberFormat="1" applyFont="1" applyBorder="1" applyAlignment="1">
      <alignment horizontal="center" vertical="center" wrapText="1"/>
    </xf>
    <xf numFmtId="177" fontId="14" fillId="10" borderId="6" xfId="0" applyNumberFormat="1" applyFont="1" applyFill="1" applyBorder="1" applyAlignment="1">
      <alignment horizontal="center" vertical="center"/>
    </xf>
    <xf numFmtId="0" fontId="19" fillId="0" borderId="6" xfId="0" applyFont="1" applyFill="1" applyBorder="1" applyAlignment="1">
      <alignment horizontal="center" vertical="center" wrapText="1"/>
    </xf>
    <xf numFmtId="49" fontId="16" fillId="0" borderId="6" xfId="0" applyNumberFormat="1" applyFont="1" applyFill="1" applyBorder="1" applyAlignment="1">
      <alignment horizontal="center" vertical="center" wrapText="1"/>
    </xf>
    <xf numFmtId="0" fontId="16" fillId="0" borderId="6" xfId="0" applyFont="1" applyFill="1" applyBorder="1" applyAlignment="1">
      <alignment horizontal="center" vertical="center" wrapText="1"/>
    </xf>
    <xf numFmtId="0" fontId="16" fillId="0" borderId="6" xfId="0" applyNumberFormat="1" applyFont="1" applyFill="1" applyBorder="1" applyAlignment="1">
      <alignment horizontal="center" vertical="center"/>
    </xf>
    <xf numFmtId="179" fontId="16" fillId="0" borderId="6" xfId="0" applyNumberFormat="1" applyFont="1" applyFill="1" applyBorder="1" applyAlignment="1">
      <alignment horizontal="center" vertical="center"/>
    </xf>
    <xf numFmtId="178" fontId="16" fillId="0" borderId="6" xfId="0" applyNumberFormat="1" applyFont="1" applyFill="1" applyBorder="1" applyAlignment="1">
      <alignment horizontal="center" vertical="center"/>
    </xf>
    <xf numFmtId="178" fontId="14" fillId="0" borderId="0" xfId="0" applyNumberFormat="1" applyFont="1" applyFill="1" applyBorder="1" applyAlignment="1">
      <alignment horizontal="center" vertical="center"/>
    </xf>
    <xf numFmtId="0" fontId="16" fillId="0" borderId="6" xfId="0" applyNumberFormat="1" applyFont="1" applyFill="1" applyBorder="1" applyAlignment="1">
      <alignment horizontal="center" vertical="center" wrapText="1"/>
    </xf>
    <xf numFmtId="181" fontId="16" fillId="0" borderId="6" xfId="0" applyNumberFormat="1" applyFont="1" applyFill="1" applyBorder="1" applyAlignment="1">
      <alignment horizontal="center" vertical="center"/>
    </xf>
    <xf numFmtId="177" fontId="16" fillId="0" borderId="6" xfId="0" applyNumberFormat="1" applyFont="1" applyFill="1" applyBorder="1" applyAlignment="1">
      <alignment horizontal="center" vertical="center"/>
    </xf>
    <xf numFmtId="0" fontId="12" fillId="0" borderId="0" xfId="0" applyFont="1" applyFill="1" applyBorder="1" applyAlignment="1">
      <alignment vertical="center" wrapText="1"/>
    </xf>
    <xf numFmtId="176" fontId="12" fillId="9" borderId="6" xfId="0" applyNumberFormat="1" applyFont="1" applyFill="1" applyBorder="1" applyAlignment="1">
      <alignment horizontal="right" vertical="center"/>
    </xf>
    <xf numFmtId="49" fontId="19" fillId="0" borderId="6" xfId="0" applyNumberFormat="1" applyFont="1" applyFill="1" applyBorder="1" applyAlignment="1">
      <alignment horizontal="center" vertical="center"/>
    </xf>
    <xf numFmtId="49" fontId="19" fillId="0" borderId="6" xfId="0" applyNumberFormat="1" applyFont="1" applyFill="1" applyBorder="1" applyAlignment="1">
      <alignment horizontal="center" vertical="center" wrapText="1"/>
    </xf>
    <xf numFmtId="0" fontId="19" fillId="0" borderId="6" xfId="0" applyNumberFormat="1" applyFont="1" applyFill="1" applyBorder="1" applyAlignment="1">
      <alignment horizontal="center" vertical="center"/>
    </xf>
    <xf numFmtId="0" fontId="19" fillId="10" borderId="6" xfId="0" applyFont="1" applyFill="1" applyBorder="1" applyAlignment="1">
      <alignment horizontal="center" vertical="center"/>
    </xf>
    <xf numFmtId="49" fontId="19" fillId="10" borderId="6" xfId="0" applyNumberFormat="1" applyFont="1" applyFill="1" applyBorder="1" applyAlignment="1">
      <alignment horizontal="center" vertical="center" wrapText="1"/>
    </xf>
    <xf numFmtId="49" fontId="19" fillId="10" borderId="6" xfId="0" applyNumberFormat="1" applyFont="1" applyFill="1" applyBorder="1" applyAlignment="1">
      <alignment horizontal="left" vertical="center"/>
    </xf>
    <xf numFmtId="179" fontId="19" fillId="0" borderId="6" xfId="0" applyNumberFormat="1" applyFont="1" applyFill="1" applyBorder="1" applyAlignment="1">
      <alignment horizontal="center" vertical="center"/>
    </xf>
    <xf numFmtId="182" fontId="19" fillId="10" borderId="6" xfId="0" applyNumberFormat="1" applyFont="1" applyFill="1" applyBorder="1" applyAlignment="1">
      <alignment horizontal="center" vertical="center"/>
    </xf>
    <xf numFmtId="178" fontId="19" fillId="0" borderId="6" xfId="0" applyNumberFormat="1" applyFont="1" applyFill="1" applyBorder="1" applyAlignment="1">
      <alignment horizontal="center" vertical="center"/>
    </xf>
    <xf numFmtId="178" fontId="19" fillId="10" borderId="6" xfId="0" applyNumberFormat="1" applyFont="1" applyFill="1" applyBorder="1" applyAlignment="1">
      <alignment horizontal="center" vertical="center"/>
    </xf>
    <xf numFmtId="0" fontId="16" fillId="10" borderId="0" xfId="0" applyFont="1" applyFill="1" applyBorder="1">
      <alignment vertical="center"/>
    </xf>
    <xf numFmtId="177" fontId="19" fillId="0" borderId="6" xfId="0" applyNumberFormat="1" applyFont="1" applyFill="1" applyBorder="1" applyAlignment="1">
      <alignment horizontal="center" vertical="center"/>
    </xf>
    <xf numFmtId="0" fontId="16" fillId="10" borderId="6" xfId="0" applyFont="1" applyFill="1" applyBorder="1" applyAlignment="1">
      <alignment horizontal="center" vertical="center"/>
    </xf>
    <xf numFmtId="177" fontId="16" fillId="10" borderId="6" xfId="0" applyNumberFormat="1" applyFont="1" applyFill="1" applyBorder="1" applyAlignment="1">
      <alignment horizontal="center" vertical="center"/>
    </xf>
    <xf numFmtId="0" fontId="12" fillId="0" borderId="6" xfId="0" applyFont="1" applyFill="1" applyBorder="1" applyAlignment="1" quotePrefix="1">
      <alignment horizontal="left" vertical="center"/>
    </xf>
    <xf numFmtId="0" fontId="12" fillId="0" borderId="6" xfId="0" applyFont="1" applyFill="1" applyBorder="1" applyAlignment="1" quotePrefix="1">
      <alignment horizontal="center" vertical="center"/>
    </xf>
    <xf numFmtId="0" fontId="12" fillId="2" borderId="6" xfId="0" applyFont="1" applyFill="1" applyBorder="1" applyAlignment="1" quotePrefix="1">
      <alignment horizontal="left" vertical="center"/>
    </xf>
    <xf numFmtId="0" fontId="12" fillId="0" borderId="6" xfId="0" applyFont="1" applyBorder="1" applyAlignment="1" quotePrefix="1">
      <alignment horizontal="center" vertical="center"/>
    </xf>
    <xf numFmtId="0" fontId="12" fillId="0" borderId="6" xfId="0" applyFont="1" applyBorder="1" applyAlignment="1" quotePrefix="1">
      <alignment horizontal="center" vertical="center" wrapText="1"/>
    </xf>
    <xf numFmtId="0" fontId="12" fillId="0" borderId="6" xfId="0" applyFont="1" applyBorder="1" applyAlignment="1" quotePrefix="1">
      <alignment horizontal="justify" vertical="center"/>
    </xf>
    <xf numFmtId="0" fontId="12" fillId="2" borderId="6" xfId="0" applyFont="1" applyFill="1" applyBorder="1" applyAlignment="1" quotePrefix="1">
      <alignment horizontal="center" vertical="center"/>
    </xf>
    <xf numFmtId="0" fontId="14" fillId="0" borderId="6" xfId="0" applyFont="1" applyFill="1" applyBorder="1" applyAlignment="1" quotePrefix="1">
      <alignment horizontal="left" vertical="center" wrapText="1"/>
    </xf>
    <xf numFmtId="0" fontId="14" fillId="0" borderId="6" xfId="0" applyNumberFormat="1" applyFont="1" applyFill="1" applyBorder="1" applyAlignment="1" applyProtection="1" quotePrefix="1">
      <alignment horizontal="center" vertical="center" wrapText="1"/>
    </xf>
    <xf numFmtId="0" fontId="12" fillId="0" borderId="6" xfId="0" applyFont="1" applyFill="1" applyBorder="1" applyAlignment="1" quotePrefix="1">
      <alignment horizontal="center" vertical="center" wrapText="1"/>
    </xf>
    <xf numFmtId="0" fontId="12" fillId="0" borderId="6" xfId="0" applyNumberFormat="1" applyFont="1" applyFill="1" applyBorder="1" applyAlignment="1" applyProtection="1" quotePrefix="1">
      <alignment horizontal="center" vertical="center" wrapText="1"/>
    </xf>
    <xf numFmtId="49" fontId="14" fillId="0" borderId="6" xfId="0" applyNumberFormat="1" applyFont="1" applyFill="1" applyBorder="1" applyAlignment="1" applyProtection="1" quotePrefix="1">
      <alignment horizontal="center" vertical="center"/>
    </xf>
    <xf numFmtId="0" fontId="14" fillId="0" borderId="6" xfId="0" applyNumberFormat="1" applyFont="1" applyFill="1" applyBorder="1" applyAlignment="1" applyProtection="1" quotePrefix="1">
      <alignment horizontal="center" vertical="center"/>
    </xf>
    <xf numFmtId="0" fontId="15" fillId="0" borderId="6" xfId="0" applyNumberFormat="1" applyFont="1" applyFill="1" applyBorder="1" applyAlignment="1" applyProtection="1" quotePrefix="1">
      <alignment horizontal="center" vertical="center" wrapText="1"/>
    </xf>
    <xf numFmtId="0" fontId="19" fillId="0" borderId="6" xfId="0" applyNumberFormat="1" applyFont="1" applyFill="1" applyBorder="1" applyAlignment="1" applyProtection="1" quotePrefix="1">
      <alignment horizontal="center" vertical="center" wrapText="1"/>
    </xf>
    <xf numFmtId="0" fontId="16" fillId="0" borderId="6" xfId="0" applyNumberFormat="1" applyFont="1" applyFill="1" applyBorder="1" applyAlignment="1" applyProtection="1" quotePrefix="1">
      <alignment horizontal="center" vertical="center" wrapText="1"/>
    </xf>
    <xf numFmtId="0" fontId="14" fillId="2" borderId="6" xfId="0" applyNumberFormat="1" applyFont="1" applyFill="1" applyBorder="1" applyAlignment="1" applyProtection="1" quotePrefix="1">
      <alignment horizontal="center" vertical="center" wrapText="1"/>
    </xf>
    <xf numFmtId="49" fontId="12" fillId="0" borderId="6" xfId="0" applyNumberFormat="1" applyFont="1" applyFill="1" applyBorder="1" applyAlignment="1" quotePrefix="1">
      <alignment horizontal="center" vertical="center"/>
    </xf>
    <xf numFmtId="0" fontId="12" fillId="0" borderId="6" xfId="0" applyFont="1" applyFill="1" applyBorder="1" quotePrefix="1">
      <alignment vertical="center"/>
    </xf>
    <xf numFmtId="0" fontId="12" fillId="7" borderId="6" xfId="0" applyFont="1" applyFill="1" applyBorder="1" quotePrefix="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154" xfId="35"/>
    <cellStyle name="常规 149"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5" Type="http://schemas.openxmlformats.org/officeDocument/2006/relationships/sharedStrings" Target="sharedStrings.xml"/><Relationship Id="rId24" Type="http://schemas.openxmlformats.org/officeDocument/2006/relationships/styles" Target="styles.xml"/><Relationship Id="rId23" Type="http://schemas.openxmlformats.org/officeDocument/2006/relationships/theme" Target="theme/theme1.xml"/><Relationship Id="rId22" Type="http://schemas.openxmlformats.org/officeDocument/2006/relationships/externalLink" Target="externalLinks/externalLink3.xml"/><Relationship Id="rId21" Type="http://schemas.openxmlformats.org/officeDocument/2006/relationships/externalLink" Target="externalLinks/externalLink2.xml"/><Relationship Id="rId20" Type="http://schemas.openxmlformats.org/officeDocument/2006/relationships/externalLink" Target="externalLinks/externalLink1.xml"/><Relationship Id="rId2" Type="http://schemas.openxmlformats.org/officeDocument/2006/relationships/worksheet" Target="worksheets/sheet2.xml"/><Relationship Id="rId19" Type="http://schemas.openxmlformats.org/officeDocument/2006/relationships/customXml" Target="../customXml/item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dministrator\AppData\Roaming\kingsoft\office6\backup\&#38144;&#21806;&#36135;&#20540;&#34920;&#65288;&#24050;&#30003;&#25253;+&#26410;&#30003;&#25253;&#65289;2022.10.7-&#26195;&#2697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24037;&#20316;&#25991;&#20214;\&#24658;&#31077;&#28165;&#20135;&#26680;&#36164;\&#20538;&#26435;&#30003;&#25253;2022.9.25\&#38144;&#21806;&#36135;&#20540;&#26126;&#32454;&#34920;3.18-&#2084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DELL\AppData\Local\Temp\360zip$Temp\360$3\&#20538;&#21153;&#36134;&#38754;&#19982;&#30003;&#25253;&#23545;&#27604;2022.11.28.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车位明细"/>
      <sheetName val="9#10#商铺销控表最新"/>
      <sheetName val="商业盒子"/>
      <sheetName val="住宅"/>
      <sheetName val="退房-新增"/>
    </sheetNames>
    <sheetDataSet>
      <sheetData sheetId="0" refreshError="1"/>
      <sheetData sheetId="1" refreshError="1">
        <row r="3">
          <cell r="B3" t="str">
            <v>常燕</v>
          </cell>
        </row>
        <row r="4">
          <cell r="B4" t="str">
            <v>付群芝</v>
          </cell>
        </row>
        <row r="5">
          <cell r="B5" t="str">
            <v>河南启元教育有限公司</v>
          </cell>
        </row>
        <row r="6">
          <cell r="B6" t="str">
            <v>葛显红</v>
          </cell>
        </row>
        <row r="7">
          <cell r="B7" t="str">
            <v>余洋洋</v>
          </cell>
        </row>
        <row r="8">
          <cell r="B8" t="str">
            <v>许铭浩</v>
          </cell>
        </row>
        <row r="9">
          <cell r="B9" t="str">
            <v>杜迸芹、明江山</v>
          </cell>
        </row>
        <row r="10">
          <cell r="B10" t="str">
            <v>张俊娥</v>
          </cell>
        </row>
        <row r="11">
          <cell r="B11" t="str">
            <v>冯小青</v>
          </cell>
        </row>
        <row r="12">
          <cell r="B12" t="str">
            <v>王苏君</v>
          </cell>
        </row>
      </sheetData>
      <sheetData sheetId="2" refreshError="1"/>
      <sheetData sheetId="3" refreshError="1"/>
      <sheetData sheetId="4"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汇总表"/>
      <sheetName val="1#楼明细表"/>
      <sheetName val="2#楼明细表"/>
      <sheetName val="3#楼明细表"/>
      <sheetName val="5#楼明细表"/>
      <sheetName val="6#明细表"/>
      <sheetName val="7#明细表"/>
      <sheetName val="9#楼明细"/>
      <sheetName val="10#楼明细表"/>
      <sheetName val="11#明细表"/>
      <sheetName val="12#明细表"/>
      <sheetName val="13#明细表"/>
      <sheetName val="车位明细"/>
      <sheetName val="9#10#商铺销控表最新"/>
      <sheetName val="幼儿园"/>
      <sheetName val="商业盒子"/>
      <sheetName val="汇总"/>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row r="4">
          <cell r="Z4">
            <v>42637059</v>
          </cell>
          <cell r="AA4">
            <v>257259</v>
          </cell>
          <cell r="AB4">
            <v>43520</v>
          </cell>
          <cell r="AC4">
            <v>-280657</v>
          </cell>
        </row>
        <row r="5">
          <cell r="Z5">
            <v>213796406</v>
          </cell>
          <cell r="AA5">
            <v>1353520</v>
          </cell>
          <cell r="AB5">
            <v>188830</v>
          </cell>
          <cell r="AC5">
            <v>-129201</v>
          </cell>
        </row>
        <row r="6">
          <cell r="Z6">
            <v>1828840</v>
          </cell>
          <cell r="AA6">
            <v>11705</v>
          </cell>
          <cell r="AB6">
            <v>240</v>
          </cell>
        </row>
        <row r="7">
          <cell r="Z7">
            <v>94947816</v>
          </cell>
          <cell r="AA7">
            <v>367884</v>
          </cell>
          <cell r="AB7">
            <v>4820</v>
          </cell>
          <cell r="AC7">
            <v>-229</v>
          </cell>
        </row>
        <row r="9">
          <cell r="Z9">
            <v>77801653.0797024</v>
          </cell>
          <cell r="AA9">
            <v>481314</v>
          </cell>
          <cell r="AB9">
            <v>6180</v>
          </cell>
          <cell r="AC9">
            <v>-447619</v>
          </cell>
        </row>
        <row r="10">
          <cell r="Z10">
            <v>70301640</v>
          </cell>
          <cell r="AA10">
            <v>378826</v>
          </cell>
          <cell r="AB10">
            <v>4840</v>
          </cell>
          <cell r="AC10">
            <v>-686467</v>
          </cell>
        </row>
        <row r="11">
          <cell r="Z11">
            <v>81252892</v>
          </cell>
          <cell r="AA11">
            <v>417154</v>
          </cell>
          <cell r="AB11">
            <v>3690</v>
          </cell>
          <cell r="AC11">
            <v>-40949</v>
          </cell>
        </row>
        <row r="14">
          <cell r="Z14">
            <v>25750000</v>
          </cell>
        </row>
        <row r="15">
          <cell r="Z15">
            <v>25795983</v>
          </cell>
          <cell r="AA15">
            <v>53319</v>
          </cell>
          <cell r="AB15">
            <v>2760</v>
          </cell>
        </row>
        <row r="17">
          <cell r="Z17">
            <v>691156354</v>
          </cell>
          <cell r="AA17">
            <v>803582</v>
          </cell>
          <cell r="AB17">
            <v>337710</v>
          </cell>
          <cell r="AC17">
            <v>5231393</v>
          </cell>
        </row>
      </sheetData>
      <sheetData sheetId="17"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应付债务账面与申报情况"/>
      <sheetName val="关联方"/>
      <sheetName val="大债权人"/>
      <sheetName val="政府债务及过渡费"/>
      <sheetName val="工程优先权"/>
    </sheetNames>
    <sheetDataSet>
      <sheetData sheetId="0">
        <row r="19">
          <cell r="I19">
            <v>0</v>
          </cell>
        </row>
        <row r="20">
          <cell r="I20">
            <v>3003609.76</v>
          </cell>
        </row>
        <row r="21">
          <cell r="I21">
            <v>1</v>
          </cell>
        </row>
        <row r="22">
          <cell r="I22">
            <v>5707541.36</v>
          </cell>
        </row>
        <row r="24">
          <cell r="I24">
            <v>201</v>
          </cell>
        </row>
        <row r="25">
          <cell r="I25">
            <v>5661307305.70014</v>
          </cell>
        </row>
        <row r="27">
          <cell r="I27">
            <v>41</v>
          </cell>
        </row>
        <row r="28">
          <cell r="I28">
            <v>472018079.7294</v>
          </cell>
        </row>
        <row r="30">
          <cell r="I30">
            <v>17</v>
          </cell>
        </row>
        <row r="31">
          <cell r="I31">
            <v>97011543.16</v>
          </cell>
        </row>
        <row r="37">
          <cell r="I37">
            <v>57</v>
          </cell>
        </row>
        <row r="38">
          <cell r="I38">
            <v>24014499.65</v>
          </cell>
        </row>
        <row r="41">
          <cell r="I41">
            <v>74</v>
          </cell>
        </row>
        <row r="42">
          <cell r="I42">
            <v>32397953.4646657</v>
          </cell>
        </row>
        <row r="44">
          <cell r="I44">
            <v>31</v>
          </cell>
        </row>
        <row r="45">
          <cell r="I45">
            <v>5063743.06</v>
          </cell>
        </row>
        <row r="49">
          <cell r="I49">
            <v>46</v>
          </cell>
        </row>
        <row r="50">
          <cell r="I50">
            <v>2176870</v>
          </cell>
        </row>
        <row r="52">
          <cell r="I52">
            <v>92</v>
          </cell>
        </row>
        <row r="53">
          <cell r="I53">
            <v>4529150</v>
          </cell>
        </row>
        <row r="54">
          <cell r="I54">
            <v>560</v>
          </cell>
        </row>
        <row r="55">
          <cell r="I55">
            <v>6307230295.8842</v>
          </cell>
        </row>
      </sheetData>
      <sheetData sheetId="1"/>
      <sheetData sheetId="2"/>
      <sheetData sheetId="3"/>
      <sheetData sheetId="4"/>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4.xml"/></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comments" Target="../comments5.xml"/></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comments" Target="../comments6.xml"/></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comments" Target="../comments7.xml"/></Relationships>
</file>

<file path=xl/worksheets/_rels/sheet16.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comments" Target="../comments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U720"/>
  <sheetViews>
    <sheetView workbookViewId="0">
      <pane xSplit="2" ySplit="1" topLeftCell="C2" activePane="bottomRight" state="frozen"/>
      <selection/>
      <selection pane="topRight"/>
      <selection pane="bottomLeft"/>
      <selection pane="bottomRight" activeCell="D2" sqref="D2:D713"/>
    </sheetView>
  </sheetViews>
  <sheetFormatPr defaultColWidth="9" defaultRowHeight="18" customHeight="1"/>
  <cols>
    <col min="1" max="1" width="7.75454545454545" style="203" customWidth="1"/>
    <col min="2" max="2" width="7.5" style="203" customWidth="1"/>
    <col min="3" max="4" width="19.0909090909091" style="426" customWidth="1"/>
    <col min="5" max="5" width="13.0909090909091" style="98" customWidth="1"/>
    <col min="6" max="6" width="7.90909090909091" style="187" customWidth="1"/>
    <col min="7" max="8" width="4.27272727272727" style="98" customWidth="1"/>
    <col min="9" max="9" width="5.90909090909091" style="98" customWidth="1"/>
    <col min="10" max="10" width="6.09090909090909" style="98" customWidth="1"/>
    <col min="11" max="11" width="8.09090909090909" style="98" customWidth="1"/>
    <col min="12" max="12" width="12.5" style="98" customWidth="1"/>
    <col min="13" max="13" width="7.90909090909091" style="96" customWidth="1"/>
    <col min="14" max="14" width="12.2545454545455" style="96" customWidth="1"/>
    <col min="15" max="15" width="9.36363636363636" style="427" customWidth="1"/>
    <col min="16" max="16" width="11.2545454545455" style="98" customWidth="1"/>
    <col min="17" max="17" width="7.90909090909091" style="203" customWidth="1"/>
    <col min="18" max="18" width="11.4454545454545" style="203" customWidth="1"/>
    <col min="19" max="19" width="10.3818181818182" style="203" customWidth="1"/>
    <col min="20" max="20" width="10.4454545454545" style="203" customWidth="1"/>
    <col min="21" max="21" width="10.6363636363636" style="203" customWidth="1"/>
    <col min="22" max="22" width="10.8181818181818" style="205" customWidth="1"/>
    <col min="23" max="23" width="8.72727272727273" style="205" customWidth="1"/>
    <col min="24" max="24" width="9.63636363636364" style="205" customWidth="1"/>
    <col min="25" max="25" width="4.09090909090909" style="203" customWidth="1"/>
    <col min="26" max="26" width="4.27272727272727" style="203" customWidth="1"/>
    <col min="27" max="27" width="11.1818181818182" style="205" customWidth="1"/>
    <col min="28" max="30" width="10.1363636363636" style="203" customWidth="1"/>
    <col min="31" max="31" width="7.90909090909091" style="203" customWidth="1"/>
    <col min="32" max="32" width="7.90909090909091" style="428" customWidth="1"/>
    <col min="33" max="33" width="10.5545454545455" style="398" customWidth="1"/>
    <col min="34" max="34" width="12.3636363636364" style="205" customWidth="1"/>
    <col min="35" max="37" width="12.3636363636364" style="397" customWidth="1"/>
    <col min="38" max="38" width="19.9090909090909" style="421" customWidth="1"/>
    <col min="39" max="39" width="7.38181818181818" style="205" customWidth="1"/>
    <col min="40" max="41" width="12.3636363636364" style="398" customWidth="1"/>
    <col min="42" max="42" width="12.8181818181818" style="202"/>
    <col min="43" max="43" width="14" style="202"/>
    <col min="44" max="44" width="10.5545454545455" style="202"/>
    <col min="45" max="45" width="14" style="202"/>
    <col min="46" max="16384" width="9" style="202"/>
  </cols>
  <sheetData>
    <row r="1" s="91" customFormat="1" customHeight="1" spans="1:47">
      <c r="A1" s="50" t="s">
        <v>0</v>
      </c>
      <c r="B1" s="50" t="s">
        <v>1</v>
      </c>
      <c r="C1" s="104" t="s">
        <v>2</v>
      </c>
      <c r="D1" s="104"/>
      <c r="E1" s="104" t="s">
        <v>3</v>
      </c>
      <c r="F1" s="429" t="s">
        <v>4</v>
      </c>
      <c r="G1" s="104" t="s">
        <v>5</v>
      </c>
      <c r="H1" s="50" t="s">
        <v>6</v>
      </c>
      <c r="I1" s="50" t="s">
        <v>7</v>
      </c>
      <c r="J1" s="50" t="s">
        <v>8</v>
      </c>
      <c r="K1" s="50" t="s">
        <v>9</v>
      </c>
      <c r="L1" s="151" t="s">
        <v>10</v>
      </c>
      <c r="M1" s="151" t="s">
        <v>11</v>
      </c>
      <c r="N1" s="151" t="s">
        <v>12</v>
      </c>
      <c r="O1" s="430" t="s">
        <v>13</v>
      </c>
      <c r="P1" s="105" t="s">
        <v>14</v>
      </c>
      <c r="Q1" s="151" t="s">
        <v>15</v>
      </c>
      <c r="R1" s="432" t="s">
        <v>16</v>
      </c>
      <c r="S1" s="105" t="s">
        <v>17</v>
      </c>
      <c r="T1" s="50" t="s">
        <v>18</v>
      </c>
      <c r="U1" s="50" t="s">
        <v>19</v>
      </c>
      <c r="V1" s="433" t="s">
        <v>20</v>
      </c>
      <c r="W1" s="434" t="s">
        <v>21</v>
      </c>
      <c r="X1" s="434" t="s">
        <v>22</v>
      </c>
      <c r="Y1" s="435" t="s">
        <v>23</v>
      </c>
      <c r="Z1" s="50" t="s">
        <v>24</v>
      </c>
      <c r="AA1" s="434" t="s">
        <v>25</v>
      </c>
      <c r="AB1" s="436" t="s">
        <v>26</v>
      </c>
      <c r="AC1" s="436" t="s">
        <v>27</v>
      </c>
      <c r="AD1" s="436" t="s">
        <v>28</v>
      </c>
      <c r="AE1" s="50" t="s">
        <v>29</v>
      </c>
      <c r="AF1" s="50" t="s">
        <v>30</v>
      </c>
      <c r="AG1" s="437" t="s">
        <v>31</v>
      </c>
      <c r="AH1" s="47" t="s">
        <v>32</v>
      </c>
      <c r="AI1" s="47" t="s">
        <v>33</v>
      </c>
      <c r="AJ1" s="438" t="s">
        <v>34</v>
      </c>
      <c r="AK1" s="47" t="s">
        <v>35</v>
      </c>
      <c r="AL1" s="50" t="s">
        <v>36</v>
      </c>
      <c r="AM1" s="47" t="s">
        <v>37</v>
      </c>
      <c r="AN1" s="437" t="s">
        <v>38</v>
      </c>
      <c r="AO1" s="228"/>
      <c r="AP1" s="91" t="s">
        <v>39</v>
      </c>
      <c r="AQ1" s="439">
        <f>SUM(AI:AI)</f>
        <v>536017876.47</v>
      </c>
      <c r="AR1" s="91" t="s">
        <v>40</v>
      </c>
      <c r="AS1" s="439">
        <f>SUM(AJ:AJ)</f>
        <v>524142961.8</v>
      </c>
      <c r="AT1" s="91" t="s">
        <v>41</v>
      </c>
      <c r="AU1" s="91">
        <f>COUNTA(A:A)-1</f>
        <v>712</v>
      </c>
    </row>
    <row r="2" s="187" customFormat="1" customHeight="1" spans="1:41">
      <c r="A2" s="115" t="s">
        <v>42</v>
      </c>
      <c r="B2" s="115" t="s">
        <v>43</v>
      </c>
      <c r="C2" s="193" t="s">
        <v>44</v>
      </c>
      <c r="D2" s="193" t="str">
        <f>B2&amp;C2</f>
        <v>史耀410104198102103013</v>
      </c>
      <c r="E2" s="155" t="s">
        <v>45</v>
      </c>
      <c r="F2" s="115"/>
      <c r="G2" s="115">
        <v>6</v>
      </c>
      <c r="H2" s="115">
        <v>1</v>
      </c>
      <c r="I2" s="115">
        <v>5</v>
      </c>
      <c r="J2" s="115">
        <v>506</v>
      </c>
      <c r="K2" s="115">
        <v>86.33</v>
      </c>
      <c r="L2" s="115">
        <v>17900</v>
      </c>
      <c r="M2" s="115"/>
      <c r="N2" s="115"/>
      <c r="O2" s="431">
        <v>15000</v>
      </c>
      <c r="P2" s="115">
        <f>ROUND(O2*K2,0)</f>
        <v>1294950</v>
      </c>
      <c r="Q2" s="115" t="s">
        <v>46</v>
      </c>
      <c r="R2" s="115">
        <v>894950</v>
      </c>
      <c r="S2" s="115"/>
      <c r="T2" s="115" t="s">
        <v>47</v>
      </c>
      <c r="U2" s="115"/>
      <c r="V2" s="115">
        <v>400000</v>
      </c>
      <c r="W2" s="115">
        <v>5611</v>
      </c>
      <c r="X2" s="115">
        <v>80</v>
      </c>
      <c r="Y2" s="115" t="s">
        <v>48</v>
      </c>
      <c r="Z2" s="115"/>
      <c r="AA2" s="115"/>
      <c r="AB2" s="115"/>
      <c r="AC2" s="115"/>
      <c r="AD2" s="115"/>
      <c r="AE2" s="115"/>
      <c r="AF2" s="291"/>
      <c r="AG2" s="246">
        <v>43167</v>
      </c>
      <c r="AH2" s="133"/>
      <c r="AI2" s="132">
        <f>R2+V2+W2+X2+AA2+AB2+AC2+AD2</f>
        <v>1300641</v>
      </c>
      <c r="AJ2" s="132">
        <f>R2+W2+V2+X2+AA2</f>
        <v>1300641</v>
      </c>
      <c r="AK2" s="132">
        <f t="shared" ref="AK2:AK15" si="0">AI2-AJ2</f>
        <v>0</v>
      </c>
      <c r="AL2" s="176"/>
      <c r="AM2" s="133"/>
      <c r="AN2" s="246">
        <v>44841</v>
      </c>
      <c r="AO2" s="259"/>
    </row>
    <row r="3" s="187" customFormat="1" customHeight="1" spans="1:41">
      <c r="A3" s="115" t="s">
        <v>49</v>
      </c>
      <c r="B3" s="115" t="s">
        <v>50</v>
      </c>
      <c r="C3" s="193" t="s">
        <v>51</v>
      </c>
      <c r="D3" s="193" t="str">
        <f t="shared" ref="D3:D66" si="1">B3&amp;C3</f>
        <v>李文文412321198402143921</v>
      </c>
      <c r="E3" s="155" t="s">
        <v>52</v>
      </c>
      <c r="F3" s="115"/>
      <c r="G3" s="115">
        <v>9</v>
      </c>
      <c r="H3" s="115">
        <v>3</v>
      </c>
      <c r="I3" s="115">
        <v>22</v>
      </c>
      <c r="J3" s="115">
        <v>2201</v>
      </c>
      <c r="K3" s="115">
        <v>93.4</v>
      </c>
      <c r="L3" s="115">
        <v>8806</v>
      </c>
      <c r="M3" s="115"/>
      <c r="N3" s="115"/>
      <c r="O3" s="431">
        <v>8705.6</v>
      </c>
      <c r="P3" s="115">
        <v>813103</v>
      </c>
      <c r="Q3" s="115" t="s">
        <v>46</v>
      </c>
      <c r="R3" s="115">
        <v>543103</v>
      </c>
      <c r="S3" s="115"/>
      <c r="T3" s="115" t="s">
        <v>47</v>
      </c>
      <c r="U3" s="115"/>
      <c r="V3" s="115">
        <v>270000</v>
      </c>
      <c r="W3" s="115">
        <v>6071</v>
      </c>
      <c r="X3" s="115">
        <v>80</v>
      </c>
      <c r="Y3" s="115"/>
      <c r="Z3" s="115" t="s">
        <v>48</v>
      </c>
      <c r="AA3" s="115"/>
      <c r="AB3" s="115"/>
      <c r="AC3" s="115"/>
      <c r="AD3" s="115"/>
      <c r="AE3" s="115"/>
      <c r="AF3" s="291"/>
      <c r="AG3" s="246">
        <v>44017</v>
      </c>
      <c r="AH3" s="133"/>
      <c r="AI3" s="132">
        <f>R3+V3+W3+X3+AA3+AB3+AC3+AD3</f>
        <v>819254</v>
      </c>
      <c r="AJ3" s="132">
        <f>R3+W3+V3+X3+AA3</f>
        <v>819254</v>
      </c>
      <c r="AK3" s="132">
        <f t="shared" si="0"/>
        <v>0</v>
      </c>
      <c r="AL3" s="176"/>
      <c r="AM3" s="133"/>
      <c r="AN3" s="246">
        <v>44841</v>
      </c>
      <c r="AO3" s="259"/>
    </row>
    <row r="4" s="187" customFormat="1" customHeight="1" spans="1:41">
      <c r="A4" s="115" t="s">
        <v>53</v>
      </c>
      <c r="B4" s="115" t="s">
        <v>54</v>
      </c>
      <c r="C4" s="193" t="s">
        <v>55</v>
      </c>
      <c r="D4" s="193" t="str">
        <f t="shared" si="1"/>
        <v>李文中410105195709293311</v>
      </c>
      <c r="E4" s="155">
        <v>13700856263</v>
      </c>
      <c r="F4" s="115"/>
      <c r="G4" s="115">
        <v>11</v>
      </c>
      <c r="H4" s="115">
        <v>3</v>
      </c>
      <c r="I4" s="115">
        <v>26</v>
      </c>
      <c r="J4" s="115">
        <v>2601</v>
      </c>
      <c r="K4" s="115">
        <v>149.28</v>
      </c>
      <c r="L4" s="115">
        <v>8300</v>
      </c>
      <c r="M4" s="115"/>
      <c r="N4" s="115"/>
      <c r="O4" s="431">
        <v>8200</v>
      </c>
      <c r="P4" s="115">
        <f>ROUND(K4*O4,0)</f>
        <v>1224096</v>
      </c>
      <c r="Q4" s="115" t="s">
        <v>56</v>
      </c>
      <c r="R4" s="115">
        <v>1224096</v>
      </c>
      <c r="S4" s="115" t="s">
        <v>47</v>
      </c>
      <c r="T4" s="115"/>
      <c r="U4" s="115"/>
      <c r="V4" s="115"/>
      <c r="W4" s="115">
        <v>9703</v>
      </c>
      <c r="X4" s="115">
        <v>80</v>
      </c>
      <c r="Y4" s="115" t="s">
        <v>48</v>
      </c>
      <c r="Z4" s="115"/>
      <c r="AA4" s="115"/>
      <c r="AB4" s="115"/>
      <c r="AC4" s="115"/>
      <c r="AD4" s="115"/>
      <c r="AE4" s="115"/>
      <c r="AF4" s="291"/>
      <c r="AG4" s="246">
        <v>42073</v>
      </c>
      <c r="AH4" s="133">
        <v>1219586</v>
      </c>
      <c r="AI4" s="132">
        <f>R4+V4+W4+X4+AA4+AB4+AC4+AD4</f>
        <v>1233879</v>
      </c>
      <c r="AJ4" s="132">
        <f>R4+W4+V4+X4+AA4</f>
        <v>1233879</v>
      </c>
      <c r="AK4" s="132">
        <f t="shared" si="0"/>
        <v>0</v>
      </c>
      <c r="AL4" s="176" t="s">
        <v>57</v>
      </c>
      <c r="AM4" s="133"/>
      <c r="AN4" s="246">
        <v>44841</v>
      </c>
      <c r="AO4" s="259"/>
    </row>
    <row r="5" s="187" customFormat="1" customHeight="1" spans="1:41">
      <c r="A5" s="115" t="s">
        <v>58</v>
      </c>
      <c r="B5" s="115" t="s">
        <v>59</v>
      </c>
      <c r="C5" s="193" t="s">
        <v>60</v>
      </c>
      <c r="D5" s="193" t="str">
        <f t="shared" si="1"/>
        <v>肖婴140511198701201248</v>
      </c>
      <c r="E5" s="155" t="s">
        <v>61</v>
      </c>
      <c r="F5" s="115"/>
      <c r="G5" s="115">
        <v>3</v>
      </c>
      <c r="H5" s="115"/>
      <c r="I5" s="115">
        <v>14</v>
      </c>
      <c r="J5" s="115">
        <v>1403</v>
      </c>
      <c r="K5" s="115">
        <v>52.4</v>
      </c>
      <c r="L5" s="115">
        <v>20000</v>
      </c>
      <c r="M5" s="115"/>
      <c r="N5" s="115"/>
      <c r="O5" s="431">
        <v>9513.53</v>
      </c>
      <c r="P5" s="115">
        <f t="shared" ref="P5:P13" si="2">ROUND(O5*K5,0)</f>
        <v>498509</v>
      </c>
      <c r="Q5" s="115" t="s">
        <v>56</v>
      </c>
      <c r="R5" s="115">
        <v>498509</v>
      </c>
      <c r="S5" s="115"/>
      <c r="T5" s="115" t="s">
        <v>47</v>
      </c>
      <c r="U5" s="115"/>
      <c r="V5" s="115"/>
      <c r="W5" s="115">
        <v>3406</v>
      </c>
      <c r="X5" s="115">
        <v>550</v>
      </c>
      <c r="Y5" s="115" t="s">
        <v>48</v>
      </c>
      <c r="Z5" s="115"/>
      <c r="AA5" s="115"/>
      <c r="AB5" s="115"/>
      <c r="AC5" s="115"/>
      <c r="AD5" s="115"/>
      <c r="AE5" s="115"/>
      <c r="AF5" s="291"/>
      <c r="AG5" s="246">
        <v>43077</v>
      </c>
      <c r="AH5" s="133">
        <f>R5-240000+W5+X5</f>
        <v>262465</v>
      </c>
      <c r="AI5" s="132">
        <f t="shared" ref="AI5:AI15" si="3">R5+V5+W5+X5+AA5+AB5+AC5+AD5</f>
        <v>502465</v>
      </c>
      <c r="AJ5" s="132">
        <f t="shared" ref="AJ5:AJ15" si="4">R5+W5+V5+X5+AA5</f>
        <v>502465</v>
      </c>
      <c r="AK5" s="132">
        <f t="shared" si="0"/>
        <v>0</v>
      </c>
      <c r="AL5" s="176" t="s">
        <v>62</v>
      </c>
      <c r="AM5" s="133"/>
      <c r="AN5" s="246">
        <v>44841</v>
      </c>
      <c r="AO5" s="259"/>
    </row>
    <row r="6" s="187" customFormat="1" customHeight="1" spans="1:41">
      <c r="A6" s="115" t="s">
        <v>63</v>
      </c>
      <c r="B6" s="115" t="s">
        <v>64</v>
      </c>
      <c r="C6" s="546" t="s">
        <v>65</v>
      </c>
      <c r="D6" s="193" t="str">
        <f t="shared" si="1"/>
        <v>孙雪玲410504197603171521</v>
      </c>
      <c r="E6" s="155">
        <v>18339928565</v>
      </c>
      <c r="F6" s="115"/>
      <c r="G6" s="115">
        <v>10</v>
      </c>
      <c r="H6" s="115">
        <v>2</v>
      </c>
      <c r="I6" s="115">
        <v>19</v>
      </c>
      <c r="J6" s="115">
        <v>1908</v>
      </c>
      <c r="K6" s="115">
        <v>94.61</v>
      </c>
      <c r="L6" s="115">
        <v>19970</v>
      </c>
      <c r="M6" s="115"/>
      <c r="N6" s="115"/>
      <c r="O6" s="431">
        <v>19376.87</v>
      </c>
      <c r="P6" s="115">
        <f t="shared" si="2"/>
        <v>1833246</v>
      </c>
      <c r="Q6" s="115" t="s">
        <v>66</v>
      </c>
      <c r="R6" s="115">
        <v>833246</v>
      </c>
      <c r="S6" s="115"/>
      <c r="T6" s="115">
        <v>999999.6707</v>
      </c>
      <c r="U6" s="115">
        <v>999999.6707</v>
      </c>
      <c r="V6" s="115"/>
      <c r="W6" s="115">
        <v>6149</v>
      </c>
      <c r="X6" s="115">
        <v>80</v>
      </c>
      <c r="Y6" s="115"/>
      <c r="Z6" s="115"/>
      <c r="AA6" s="115"/>
      <c r="AB6" s="115">
        <v>5000</v>
      </c>
      <c r="AC6" s="115"/>
      <c r="AD6" s="115"/>
      <c r="AE6" s="115"/>
      <c r="AF6" s="291"/>
      <c r="AG6" s="246">
        <v>43285</v>
      </c>
      <c r="AH6" s="133">
        <f>AI6-5000</f>
        <v>839475</v>
      </c>
      <c r="AI6" s="132">
        <f t="shared" si="3"/>
        <v>844475</v>
      </c>
      <c r="AJ6" s="132">
        <f t="shared" si="4"/>
        <v>839475</v>
      </c>
      <c r="AK6" s="132">
        <f t="shared" si="0"/>
        <v>5000</v>
      </c>
      <c r="AL6" s="176"/>
      <c r="AM6" s="133"/>
      <c r="AN6" s="246">
        <v>44841</v>
      </c>
      <c r="AO6" s="259"/>
    </row>
    <row r="7" s="187" customFormat="1" customHeight="1" spans="1:41">
      <c r="A7" s="115" t="s">
        <v>67</v>
      </c>
      <c r="B7" s="115" t="s">
        <v>68</v>
      </c>
      <c r="C7" s="193" t="s">
        <v>69</v>
      </c>
      <c r="D7" s="193" t="str">
        <f t="shared" si="1"/>
        <v>曾亚赛410425198911271023</v>
      </c>
      <c r="E7" s="155">
        <v>18703830082</v>
      </c>
      <c r="F7" s="115"/>
      <c r="G7" s="115">
        <v>3</v>
      </c>
      <c r="H7" s="115"/>
      <c r="I7" s="115">
        <v>14</v>
      </c>
      <c r="J7" s="115">
        <v>1431</v>
      </c>
      <c r="K7" s="115">
        <v>56.44</v>
      </c>
      <c r="L7" s="115">
        <v>20000</v>
      </c>
      <c r="M7" s="115"/>
      <c r="N7" s="115"/>
      <c r="O7" s="431">
        <v>8736.07</v>
      </c>
      <c r="P7" s="115">
        <f t="shared" si="2"/>
        <v>493064</v>
      </c>
      <c r="Q7" s="115" t="s">
        <v>66</v>
      </c>
      <c r="R7" s="115">
        <v>343064</v>
      </c>
      <c r="S7" s="115" t="s">
        <v>47</v>
      </c>
      <c r="T7" s="115"/>
      <c r="U7" s="115"/>
      <c r="V7" s="115">
        <v>150000</v>
      </c>
      <c r="W7" s="115">
        <v>3668</v>
      </c>
      <c r="X7" s="115">
        <v>550</v>
      </c>
      <c r="Y7" s="115" t="s">
        <v>48</v>
      </c>
      <c r="Z7" s="115"/>
      <c r="AA7" s="115"/>
      <c r="AB7" s="115">
        <f>1516+3000+10</f>
        <v>4526</v>
      </c>
      <c r="AC7" s="115"/>
      <c r="AD7" s="115"/>
      <c r="AE7" s="115"/>
      <c r="AF7" s="291"/>
      <c r="AG7" s="246">
        <v>43048</v>
      </c>
      <c r="AH7" s="133"/>
      <c r="AI7" s="132">
        <f t="shared" si="3"/>
        <v>501808</v>
      </c>
      <c r="AJ7" s="132">
        <f t="shared" si="4"/>
        <v>497282</v>
      </c>
      <c r="AK7" s="132">
        <f t="shared" si="0"/>
        <v>4526</v>
      </c>
      <c r="AL7" s="176"/>
      <c r="AM7" s="133"/>
      <c r="AN7" s="246">
        <v>44841</v>
      </c>
      <c r="AO7" s="259"/>
    </row>
    <row r="8" s="187" customFormat="1" customHeight="1" spans="1:41">
      <c r="A8" s="115" t="s">
        <v>70</v>
      </c>
      <c r="B8" s="115" t="s">
        <v>71</v>
      </c>
      <c r="C8" s="193" t="s">
        <v>72</v>
      </c>
      <c r="D8" s="193" t="str">
        <f t="shared" si="1"/>
        <v>邓玮410103198102193729</v>
      </c>
      <c r="E8" s="155">
        <v>13663868877</v>
      </c>
      <c r="F8" s="115"/>
      <c r="G8" s="115">
        <v>3</v>
      </c>
      <c r="H8" s="115"/>
      <c r="I8" s="115">
        <v>10</v>
      </c>
      <c r="J8" s="115">
        <v>1026</v>
      </c>
      <c r="K8" s="115">
        <v>56.59</v>
      </c>
      <c r="L8" s="115">
        <v>20000</v>
      </c>
      <c r="M8" s="115"/>
      <c r="N8" s="115"/>
      <c r="O8" s="431">
        <v>9582.82</v>
      </c>
      <c r="P8" s="115">
        <f t="shared" si="2"/>
        <v>542292</v>
      </c>
      <c r="Q8" s="115" t="s">
        <v>66</v>
      </c>
      <c r="R8" s="115">
        <v>272292</v>
      </c>
      <c r="S8" s="115"/>
      <c r="T8" s="115">
        <v>270000</v>
      </c>
      <c r="U8" s="115">
        <f>P8-R8</f>
        <v>270000</v>
      </c>
      <c r="V8" s="115"/>
      <c r="W8" s="115">
        <v>3678</v>
      </c>
      <c r="X8" s="115">
        <v>550</v>
      </c>
      <c r="Y8" s="115"/>
      <c r="Z8" s="115"/>
      <c r="AA8" s="115"/>
      <c r="AB8" s="115"/>
      <c r="AC8" s="115"/>
      <c r="AD8" s="115"/>
      <c r="AE8" s="115"/>
      <c r="AF8" s="291"/>
      <c r="AG8" s="246">
        <v>43067</v>
      </c>
      <c r="AH8" s="133">
        <f>AI8</f>
        <v>276520</v>
      </c>
      <c r="AI8" s="132">
        <f t="shared" si="3"/>
        <v>276520</v>
      </c>
      <c r="AJ8" s="132">
        <f t="shared" si="4"/>
        <v>276520</v>
      </c>
      <c r="AK8" s="132">
        <f t="shared" si="0"/>
        <v>0</v>
      </c>
      <c r="AL8" s="176"/>
      <c r="AM8" s="133"/>
      <c r="AN8" s="246">
        <v>44841</v>
      </c>
      <c r="AO8" s="259"/>
    </row>
    <row r="9" s="187" customFormat="1" customHeight="1" spans="1:41">
      <c r="A9" s="115" t="s">
        <v>73</v>
      </c>
      <c r="B9" s="115" t="s">
        <v>74</v>
      </c>
      <c r="C9" s="193" t="s">
        <v>75</v>
      </c>
      <c r="D9" s="193" t="str">
        <f t="shared" si="1"/>
        <v>刘平平410105197907146143</v>
      </c>
      <c r="E9" s="155" t="s">
        <v>76</v>
      </c>
      <c r="F9" s="115"/>
      <c r="G9" s="115">
        <v>3</v>
      </c>
      <c r="H9" s="115"/>
      <c r="I9" s="115">
        <v>21</v>
      </c>
      <c r="J9" s="115">
        <v>2105</v>
      </c>
      <c r="K9" s="115">
        <v>59.91</v>
      </c>
      <c r="L9" s="115">
        <v>20000</v>
      </c>
      <c r="M9" s="115"/>
      <c r="N9" s="115"/>
      <c r="O9" s="431">
        <v>10000</v>
      </c>
      <c r="P9" s="115">
        <f t="shared" si="2"/>
        <v>599100</v>
      </c>
      <c r="Q9" s="115" t="s">
        <v>56</v>
      </c>
      <c r="R9" s="115">
        <v>599100</v>
      </c>
      <c r="S9" s="115" t="s">
        <v>47</v>
      </c>
      <c r="T9" s="115"/>
      <c r="U9" s="115"/>
      <c r="V9" s="115"/>
      <c r="W9" s="115">
        <v>3894</v>
      </c>
      <c r="X9" s="115">
        <v>550</v>
      </c>
      <c r="Y9" s="115" t="s">
        <v>48</v>
      </c>
      <c r="Z9" s="115"/>
      <c r="AA9" s="115"/>
      <c r="AB9" s="115"/>
      <c r="AC9" s="115"/>
      <c r="AD9" s="115"/>
      <c r="AE9" s="115"/>
      <c r="AF9" s="291"/>
      <c r="AG9" s="246">
        <v>42848</v>
      </c>
      <c r="AH9" s="133">
        <f>AI9</f>
        <v>603544</v>
      </c>
      <c r="AI9" s="132">
        <f t="shared" si="3"/>
        <v>603544</v>
      </c>
      <c r="AJ9" s="132">
        <f t="shared" si="4"/>
        <v>603544</v>
      </c>
      <c r="AK9" s="132">
        <f t="shared" si="0"/>
        <v>0</v>
      </c>
      <c r="AL9" s="176"/>
      <c r="AM9" s="133"/>
      <c r="AN9" s="246">
        <v>44841</v>
      </c>
      <c r="AO9" s="259"/>
    </row>
    <row r="10" s="187" customFormat="1" customHeight="1" spans="1:41">
      <c r="A10" s="115" t="s">
        <v>77</v>
      </c>
      <c r="B10" s="115" t="s">
        <v>78</v>
      </c>
      <c r="C10" s="193" t="s">
        <v>79</v>
      </c>
      <c r="D10" s="193" t="str">
        <f t="shared" si="1"/>
        <v>樊国娜412926197210062545</v>
      </c>
      <c r="E10" s="155" t="s">
        <v>80</v>
      </c>
      <c r="F10" s="115" t="s">
        <v>81</v>
      </c>
      <c r="G10" s="115">
        <v>3</v>
      </c>
      <c r="H10" s="115"/>
      <c r="I10" s="115">
        <v>17</v>
      </c>
      <c r="J10" s="115">
        <v>1735</v>
      </c>
      <c r="K10" s="115">
        <v>55.18</v>
      </c>
      <c r="L10" s="115">
        <v>30000</v>
      </c>
      <c r="M10" s="115"/>
      <c r="N10" s="115"/>
      <c r="O10" s="431">
        <v>15000</v>
      </c>
      <c r="P10" s="115">
        <f t="shared" si="2"/>
        <v>827700</v>
      </c>
      <c r="Q10" s="115" t="s">
        <v>56</v>
      </c>
      <c r="R10" s="115">
        <v>827700</v>
      </c>
      <c r="S10" s="115"/>
      <c r="T10" s="115">
        <f>P10-R10</f>
        <v>0</v>
      </c>
      <c r="U10" s="115"/>
      <c r="V10" s="115"/>
      <c r="W10" s="115"/>
      <c r="X10" s="115"/>
      <c r="Y10" s="115"/>
      <c r="Z10" s="115"/>
      <c r="AA10" s="115"/>
      <c r="AB10" s="115"/>
      <c r="AC10" s="115"/>
      <c r="AD10" s="115"/>
      <c r="AE10" s="115"/>
      <c r="AF10" s="291"/>
      <c r="AG10" s="246">
        <v>43526</v>
      </c>
      <c r="AH10" s="133"/>
      <c r="AI10" s="132">
        <f t="shared" si="3"/>
        <v>827700</v>
      </c>
      <c r="AJ10" s="132">
        <f t="shared" si="4"/>
        <v>827700</v>
      </c>
      <c r="AK10" s="132">
        <f t="shared" si="0"/>
        <v>0</v>
      </c>
      <c r="AL10" s="176" t="s">
        <v>82</v>
      </c>
      <c r="AM10" s="133"/>
      <c r="AN10" s="246">
        <v>44841</v>
      </c>
      <c r="AO10" s="259"/>
    </row>
    <row r="11" s="187" customFormat="1" customHeight="1" spans="1:41">
      <c r="A11" s="115" t="s">
        <v>83</v>
      </c>
      <c r="B11" s="115" t="s">
        <v>84</v>
      </c>
      <c r="C11" s="193" t="s">
        <v>85</v>
      </c>
      <c r="D11" s="193" t="str">
        <f t="shared" si="1"/>
        <v>李晓晨410105198503130123</v>
      </c>
      <c r="E11" s="155">
        <v>13939042195</v>
      </c>
      <c r="F11" s="115"/>
      <c r="G11" s="115">
        <v>3</v>
      </c>
      <c r="H11" s="115"/>
      <c r="I11" s="115">
        <v>7</v>
      </c>
      <c r="J11" s="115">
        <v>728</v>
      </c>
      <c r="K11" s="115">
        <v>64.13</v>
      </c>
      <c r="L11" s="115">
        <v>20000</v>
      </c>
      <c r="M11" s="115"/>
      <c r="N11" s="115"/>
      <c r="O11" s="431">
        <v>9183.3</v>
      </c>
      <c r="P11" s="115">
        <f t="shared" si="2"/>
        <v>588925</v>
      </c>
      <c r="Q11" s="115" t="s">
        <v>56</v>
      </c>
      <c r="R11" s="115">
        <v>588925</v>
      </c>
      <c r="S11" s="115" t="s">
        <v>47</v>
      </c>
      <c r="T11" s="115"/>
      <c r="U11" s="115"/>
      <c r="V11" s="115"/>
      <c r="W11" s="115">
        <v>4168</v>
      </c>
      <c r="X11" s="115">
        <v>550</v>
      </c>
      <c r="Y11" s="115" t="s">
        <v>48</v>
      </c>
      <c r="Z11" s="115"/>
      <c r="AA11" s="115"/>
      <c r="AB11" s="115"/>
      <c r="AC11" s="115"/>
      <c r="AD11" s="115"/>
      <c r="AE11" s="115"/>
      <c r="AF11" s="291"/>
      <c r="AG11" s="246">
        <v>43167</v>
      </c>
      <c r="AH11" s="133"/>
      <c r="AI11" s="132">
        <f t="shared" si="3"/>
        <v>593643</v>
      </c>
      <c r="AJ11" s="132">
        <f t="shared" si="4"/>
        <v>593643</v>
      </c>
      <c r="AK11" s="132">
        <f t="shared" si="0"/>
        <v>0</v>
      </c>
      <c r="AL11" s="176"/>
      <c r="AM11" s="133"/>
      <c r="AN11" s="246">
        <v>44841</v>
      </c>
      <c r="AO11" s="259"/>
    </row>
    <row r="12" s="187" customFormat="1" customHeight="1" spans="1:41">
      <c r="A12" s="115" t="s">
        <v>86</v>
      </c>
      <c r="B12" s="115" t="s">
        <v>87</v>
      </c>
      <c r="C12" s="193" t="s">
        <v>88</v>
      </c>
      <c r="D12" s="193" t="str">
        <f t="shared" si="1"/>
        <v>王金钰41010419910409002X</v>
      </c>
      <c r="E12" s="155">
        <v>15515500527</v>
      </c>
      <c r="F12" s="115"/>
      <c r="G12" s="115">
        <v>3</v>
      </c>
      <c r="H12" s="115"/>
      <c r="I12" s="115">
        <v>14</v>
      </c>
      <c r="J12" s="115">
        <v>1428</v>
      </c>
      <c r="K12" s="115">
        <v>64.13</v>
      </c>
      <c r="L12" s="115">
        <v>20000</v>
      </c>
      <c r="M12" s="115"/>
      <c r="N12" s="115"/>
      <c r="O12" s="431">
        <v>9477.03</v>
      </c>
      <c r="P12" s="115">
        <f t="shared" si="2"/>
        <v>607762</v>
      </c>
      <c r="Q12" s="115" t="s">
        <v>66</v>
      </c>
      <c r="R12" s="115">
        <v>307762</v>
      </c>
      <c r="S12" s="115" t="s">
        <v>47</v>
      </c>
      <c r="T12" s="115"/>
      <c r="U12" s="115"/>
      <c r="V12" s="115">
        <v>300000</v>
      </c>
      <c r="W12" s="115">
        <v>4168</v>
      </c>
      <c r="X12" s="115">
        <v>550</v>
      </c>
      <c r="Y12" s="115" t="s">
        <v>48</v>
      </c>
      <c r="Z12" s="115"/>
      <c r="AA12" s="115"/>
      <c r="AB12" s="115">
        <f>3000+1580+230</f>
        <v>4810</v>
      </c>
      <c r="AC12" s="115"/>
      <c r="AD12" s="115"/>
      <c r="AE12" s="115"/>
      <c r="AF12" s="291"/>
      <c r="AG12" s="246">
        <v>43069</v>
      </c>
      <c r="AH12" s="133">
        <f>AI12-AB12</f>
        <v>612480</v>
      </c>
      <c r="AI12" s="132">
        <f t="shared" si="3"/>
        <v>617290</v>
      </c>
      <c r="AJ12" s="132">
        <f t="shared" si="4"/>
        <v>612480</v>
      </c>
      <c r="AK12" s="132">
        <f t="shared" si="0"/>
        <v>4810</v>
      </c>
      <c r="AL12" s="176"/>
      <c r="AM12" s="133"/>
      <c r="AN12" s="246">
        <v>44841</v>
      </c>
      <c r="AO12" s="259"/>
    </row>
    <row r="13" s="187" customFormat="1" customHeight="1" spans="1:41">
      <c r="A13" s="115" t="s">
        <v>89</v>
      </c>
      <c r="B13" s="115" t="s">
        <v>90</v>
      </c>
      <c r="C13" s="193" t="s">
        <v>91</v>
      </c>
      <c r="D13" s="193" t="str">
        <f t="shared" si="1"/>
        <v>陈峰410105197312231074</v>
      </c>
      <c r="E13" s="155">
        <v>18638666569</v>
      </c>
      <c r="F13" s="115"/>
      <c r="G13" s="115">
        <v>6</v>
      </c>
      <c r="H13" s="115">
        <v>1</v>
      </c>
      <c r="I13" s="115">
        <v>17</v>
      </c>
      <c r="J13" s="115">
        <v>1708</v>
      </c>
      <c r="K13" s="115">
        <v>109.13</v>
      </c>
      <c r="L13" s="115">
        <v>19780</v>
      </c>
      <c r="M13" s="115"/>
      <c r="N13" s="115"/>
      <c r="O13" s="431">
        <v>16000</v>
      </c>
      <c r="P13" s="115">
        <f t="shared" si="2"/>
        <v>1746080</v>
      </c>
      <c r="Q13" s="115" t="s">
        <v>66</v>
      </c>
      <c r="R13" s="115">
        <v>876080</v>
      </c>
      <c r="S13" s="115"/>
      <c r="T13" s="115" t="s">
        <v>47</v>
      </c>
      <c r="U13" s="115"/>
      <c r="V13" s="115">
        <v>870000</v>
      </c>
      <c r="W13" s="115">
        <v>7093</v>
      </c>
      <c r="X13" s="115">
        <v>80</v>
      </c>
      <c r="Y13" s="115" t="s">
        <v>48</v>
      </c>
      <c r="Z13" s="115"/>
      <c r="AA13" s="115"/>
      <c r="AB13" s="115"/>
      <c r="AC13" s="115"/>
      <c r="AD13" s="115"/>
      <c r="AE13" s="115"/>
      <c r="AF13" s="291"/>
      <c r="AG13" s="246">
        <v>43119</v>
      </c>
      <c r="AH13" s="133"/>
      <c r="AI13" s="132">
        <f t="shared" si="3"/>
        <v>1753253</v>
      </c>
      <c r="AJ13" s="132">
        <f t="shared" si="4"/>
        <v>1753253</v>
      </c>
      <c r="AK13" s="132">
        <f t="shared" si="0"/>
        <v>0</v>
      </c>
      <c r="AL13" s="176"/>
      <c r="AM13" s="133"/>
      <c r="AN13" s="246">
        <v>44841</v>
      </c>
      <c r="AO13" s="259"/>
    </row>
    <row r="14" s="187" customFormat="1" customHeight="1" spans="1:41">
      <c r="A14" s="115" t="s">
        <v>92</v>
      </c>
      <c r="B14" s="115" t="s">
        <v>93</v>
      </c>
      <c r="C14" s="193" t="s">
        <v>94</v>
      </c>
      <c r="D14" s="193" t="str">
        <f t="shared" si="1"/>
        <v>马佳41010319790329244X</v>
      </c>
      <c r="E14" s="155">
        <v>13938239075</v>
      </c>
      <c r="F14" s="115"/>
      <c r="G14" s="115">
        <v>3</v>
      </c>
      <c r="H14" s="115"/>
      <c r="I14" s="115">
        <v>12</v>
      </c>
      <c r="J14" s="115">
        <v>1230</v>
      </c>
      <c r="K14" s="115">
        <v>57.33</v>
      </c>
      <c r="L14" s="115">
        <v>20000</v>
      </c>
      <c r="M14" s="115"/>
      <c r="N14" s="115"/>
      <c r="O14" s="431">
        <v>10052.36</v>
      </c>
      <c r="P14" s="115">
        <f>ROUND(O14*J14,0)</f>
        <v>12364403</v>
      </c>
      <c r="Q14" s="115" t="s">
        <v>56</v>
      </c>
      <c r="R14" s="115">
        <v>576302</v>
      </c>
      <c r="S14" s="115" t="s">
        <v>47</v>
      </c>
      <c r="T14" s="115"/>
      <c r="U14" s="115"/>
      <c r="V14" s="115"/>
      <c r="W14" s="115">
        <v>3726</v>
      </c>
      <c r="X14" s="115">
        <v>550</v>
      </c>
      <c r="Y14" s="115" t="s">
        <v>48</v>
      </c>
      <c r="Z14" s="115"/>
      <c r="AA14" s="115"/>
      <c r="AB14" s="115">
        <v>3000</v>
      </c>
      <c r="AC14" s="115"/>
      <c r="AD14" s="115"/>
      <c r="AE14" s="115"/>
      <c r="AF14" s="291"/>
      <c r="AG14" s="246">
        <v>43092</v>
      </c>
      <c r="AH14" s="133">
        <f>AI14-AB14</f>
        <v>580578</v>
      </c>
      <c r="AI14" s="132">
        <f t="shared" si="3"/>
        <v>583578</v>
      </c>
      <c r="AJ14" s="132">
        <f t="shared" si="4"/>
        <v>580578</v>
      </c>
      <c r="AK14" s="132">
        <f t="shared" si="0"/>
        <v>3000</v>
      </c>
      <c r="AL14" s="176" t="s">
        <v>95</v>
      </c>
      <c r="AM14" s="133"/>
      <c r="AN14" s="246">
        <v>44841</v>
      </c>
      <c r="AO14" s="259"/>
    </row>
    <row r="15" s="187" customFormat="1" customHeight="1" spans="1:41">
      <c r="A15" s="115" t="s">
        <v>96</v>
      </c>
      <c r="B15" s="115" t="s">
        <v>97</v>
      </c>
      <c r="C15" s="193" t="s">
        <v>98</v>
      </c>
      <c r="D15" s="193" t="str">
        <f t="shared" si="1"/>
        <v>刘琳捷
刘大维412702199702017449</v>
      </c>
      <c r="E15" s="155">
        <v>15903640378</v>
      </c>
      <c r="F15" s="115"/>
      <c r="G15" s="115">
        <v>6</v>
      </c>
      <c r="H15" s="115">
        <v>1</v>
      </c>
      <c r="I15" s="115">
        <v>9</v>
      </c>
      <c r="J15" s="115">
        <v>906</v>
      </c>
      <c r="K15" s="115">
        <v>86.33</v>
      </c>
      <c r="L15" s="115">
        <v>17900</v>
      </c>
      <c r="M15" s="115"/>
      <c r="N15" s="115"/>
      <c r="O15" s="431">
        <v>16000</v>
      </c>
      <c r="P15" s="115">
        <f t="shared" ref="P15:P27" si="5">ROUND(O15*K15,0)</f>
        <v>1381280</v>
      </c>
      <c r="Q15" s="115" t="s">
        <v>66</v>
      </c>
      <c r="R15" s="115">
        <v>713600</v>
      </c>
      <c r="S15" s="115"/>
      <c r="T15" s="115">
        <v>667680</v>
      </c>
      <c r="U15" s="115">
        <f>T15</f>
        <v>667680</v>
      </c>
      <c r="V15" s="115"/>
      <c r="W15" s="115"/>
      <c r="X15" s="115"/>
      <c r="Y15" s="115"/>
      <c r="Z15" s="115"/>
      <c r="AA15" s="115"/>
      <c r="AB15" s="115"/>
      <c r="AC15" s="115"/>
      <c r="AD15" s="115"/>
      <c r="AE15" s="115"/>
      <c r="AF15" s="291"/>
      <c r="AG15" s="246">
        <v>42913</v>
      </c>
      <c r="AH15" s="133">
        <f>AI15</f>
        <v>713600</v>
      </c>
      <c r="AI15" s="132">
        <f t="shared" si="3"/>
        <v>713600</v>
      </c>
      <c r="AJ15" s="132">
        <f t="shared" si="4"/>
        <v>713600</v>
      </c>
      <c r="AK15" s="132">
        <f t="shared" si="0"/>
        <v>0</v>
      </c>
      <c r="AL15" s="176"/>
      <c r="AM15" s="133"/>
      <c r="AN15" s="246">
        <v>44841</v>
      </c>
      <c r="AO15" s="259"/>
    </row>
    <row r="16" s="187" customFormat="1" customHeight="1" spans="1:41">
      <c r="A16" s="115" t="s">
        <v>99</v>
      </c>
      <c r="B16" s="115" t="s">
        <v>100</v>
      </c>
      <c r="C16" s="193" t="s">
        <v>101</v>
      </c>
      <c r="D16" s="193" t="str">
        <f t="shared" si="1"/>
        <v>高艳红411081197312111269</v>
      </c>
      <c r="E16" s="155">
        <v>17739793883</v>
      </c>
      <c r="F16" s="115"/>
      <c r="G16" s="115">
        <v>3</v>
      </c>
      <c r="H16" s="115"/>
      <c r="I16" s="115">
        <v>8</v>
      </c>
      <c r="J16" s="115">
        <v>806</v>
      </c>
      <c r="K16" s="115">
        <v>61.66</v>
      </c>
      <c r="L16" s="115">
        <v>20000</v>
      </c>
      <c r="M16" s="115"/>
      <c r="N16" s="115"/>
      <c r="O16" s="431">
        <v>9013.99</v>
      </c>
      <c r="P16" s="115">
        <f t="shared" si="5"/>
        <v>555803</v>
      </c>
      <c r="Q16" s="115" t="s">
        <v>56</v>
      </c>
      <c r="R16" s="115">
        <v>555803</v>
      </c>
      <c r="S16" s="115" t="s">
        <v>47</v>
      </c>
      <c r="T16" s="115"/>
      <c r="U16" s="115"/>
      <c r="V16" s="115"/>
      <c r="W16" s="115">
        <v>4007</v>
      </c>
      <c r="X16" s="115">
        <v>550</v>
      </c>
      <c r="Y16" s="115" t="s">
        <v>48</v>
      </c>
      <c r="Z16" s="115"/>
      <c r="AA16" s="115"/>
      <c r="AB16" s="115"/>
      <c r="AC16" s="115"/>
      <c r="AD16" s="115"/>
      <c r="AE16" s="115"/>
      <c r="AF16" s="291"/>
      <c r="AG16" s="246">
        <v>43067</v>
      </c>
      <c r="AH16" s="133">
        <f>AI16</f>
        <v>560360</v>
      </c>
      <c r="AI16" s="132">
        <f t="shared" ref="AI16:AI29" si="6">R16+V16+W16+X16+AA16+AB16+AC16+AD16</f>
        <v>560360</v>
      </c>
      <c r="AJ16" s="132">
        <f t="shared" ref="AJ16:AJ29" si="7">R16+W16+V16+X16+AA16</f>
        <v>560360</v>
      </c>
      <c r="AK16" s="132">
        <f t="shared" ref="AK16:AK29" si="8">AI16-AJ16</f>
        <v>0</v>
      </c>
      <c r="AL16" s="176"/>
      <c r="AM16" s="133"/>
      <c r="AN16" s="246">
        <v>44841</v>
      </c>
      <c r="AO16" s="259"/>
    </row>
    <row r="17" s="187" customFormat="1" customHeight="1" spans="1:41">
      <c r="A17" s="115" t="s">
        <v>102</v>
      </c>
      <c r="B17" s="115" t="s">
        <v>103</v>
      </c>
      <c r="C17" s="193" t="s">
        <v>104</v>
      </c>
      <c r="D17" s="193" t="str">
        <f t="shared" si="1"/>
        <v>艾莉419004196810131289</v>
      </c>
      <c r="E17" s="155">
        <v>13839567500</v>
      </c>
      <c r="F17" s="115"/>
      <c r="G17" s="115">
        <v>3</v>
      </c>
      <c r="H17" s="115"/>
      <c r="I17" s="115">
        <v>8</v>
      </c>
      <c r="J17" s="115">
        <v>829</v>
      </c>
      <c r="K17" s="115">
        <v>57.45</v>
      </c>
      <c r="L17" s="115">
        <v>20000</v>
      </c>
      <c r="M17" s="115"/>
      <c r="N17" s="115"/>
      <c r="O17" s="431">
        <v>9823.53</v>
      </c>
      <c r="P17" s="115">
        <f t="shared" si="5"/>
        <v>564362</v>
      </c>
      <c r="Q17" s="115" t="s">
        <v>56</v>
      </c>
      <c r="R17" s="115">
        <v>564362</v>
      </c>
      <c r="S17" s="115" t="s">
        <v>47</v>
      </c>
      <c r="T17" s="115"/>
      <c r="U17" s="115"/>
      <c r="V17" s="115"/>
      <c r="W17" s="115">
        <v>3734</v>
      </c>
      <c r="X17" s="115">
        <v>550</v>
      </c>
      <c r="Y17" s="115" t="s">
        <v>48</v>
      </c>
      <c r="Z17" s="115"/>
      <c r="AA17" s="115"/>
      <c r="AB17" s="115"/>
      <c r="AC17" s="115"/>
      <c r="AD17" s="115"/>
      <c r="AE17" s="115"/>
      <c r="AF17" s="291"/>
      <c r="AG17" s="246">
        <v>43067</v>
      </c>
      <c r="AH17" s="133">
        <f>AI17</f>
        <v>568646</v>
      </c>
      <c r="AI17" s="132">
        <f t="shared" si="6"/>
        <v>568646</v>
      </c>
      <c r="AJ17" s="132">
        <f t="shared" si="7"/>
        <v>568646</v>
      </c>
      <c r="AK17" s="132">
        <f t="shared" si="8"/>
        <v>0</v>
      </c>
      <c r="AL17" s="176"/>
      <c r="AM17" s="133"/>
      <c r="AN17" s="246">
        <v>44841</v>
      </c>
      <c r="AO17" s="259"/>
    </row>
    <row r="18" s="187" customFormat="1" customHeight="1" spans="1:41">
      <c r="A18" s="115" t="s">
        <v>105</v>
      </c>
      <c r="B18" s="115" t="s">
        <v>106</v>
      </c>
      <c r="C18" s="193" t="s">
        <v>107</v>
      </c>
      <c r="D18" s="193" t="str">
        <f t="shared" si="1"/>
        <v>艾明磊411081197312111293</v>
      </c>
      <c r="E18" s="155">
        <v>18839778619</v>
      </c>
      <c r="F18" s="115"/>
      <c r="G18" s="115">
        <v>3</v>
      </c>
      <c r="H18" s="115"/>
      <c r="I18" s="115">
        <v>8</v>
      </c>
      <c r="J18" s="115">
        <v>807</v>
      </c>
      <c r="K18" s="115">
        <v>61.94</v>
      </c>
      <c r="L18" s="115">
        <v>20000</v>
      </c>
      <c r="M18" s="115"/>
      <c r="N18" s="115"/>
      <c r="O18" s="431">
        <v>9013.53</v>
      </c>
      <c r="P18" s="115">
        <f t="shared" si="5"/>
        <v>558298</v>
      </c>
      <c r="Q18" s="115" t="s">
        <v>56</v>
      </c>
      <c r="R18" s="115">
        <v>558298</v>
      </c>
      <c r="S18" s="115" t="s">
        <v>47</v>
      </c>
      <c r="T18" s="115"/>
      <c r="U18" s="115"/>
      <c r="V18" s="115"/>
      <c r="W18" s="115">
        <v>4026</v>
      </c>
      <c r="X18" s="115">
        <v>550</v>
      </c>
      <c r="Y18" s="115" t="s">
        <v>48</v>
      </c>
      <c r="Z18" s="115"/>
      <c r="AA18" s="115"/>
      <c r="AB18" s="115"/>
      <c r="AC18" s="115"/>
      <c r="AD18" s="115"/>
      <c r="AE18" s="115"/>
      <c r="AF18" s="291"/>
      <c r="AG18" s="246">
        <v>43067</v>
      </c>
      <c r="AH18" s="133">
        <f>AI18</f>
        <v>562874</v>
      </c>
      <c r="AI18" s="132">
        <f t="shared" si="6"/>
        <v>562874</v>
      </c>
      <c r="AJ18" s="132">
        <f t="shared" si="7"/>
        <v>562874</v>
      </c>
      <c r="AK18" s="132">
        <f t="shared" si="8"/>
        <v>0</v>
      </c>
      <c r="AL18" s="176"/>
      <c r="AM18" s="133"/>
      <c r="AN18" s="246">
        <v>44841</v>
      </c>
      <c r="AO18" s="259"/>
    </row>
    <row r="19" s="187" customFormat="1" customHeight="1" spans="1:41">
      <c r="A19" s="115" t="s">
        <v>108</v>
      </c>
      <c r="B19" s="115" t="s">
        <v>109</v>
      </c>
      <c r="C19" s="193" t="s">
        <v>110</v>
      </c>
      <c r="D19" s="193" t="str">
        <f t="shared" si="1"/>
        <v>艾艳秋410103196309083720</v>
      </c>
      <c r="E19" s="155" t="s">
        <v>111</v>
      </c>
      <c r="F19" s="115"/>
      <c r="G19" s="115">
        <v>3</v>
      </c>
      <c r="H19" s="115"/>
      <c r="I19" s="115">
        <v>8</v>
      </c>
      <c r="J19" s="115">
        <v>830</v>
      </c>
      <c r="K19" s="115">
        <v>57.33</v>
      </c>
      <c r="L19" s="115">
        <v>20000</v>
      </c>
      <c r="M19" s="115"/>
      <c r="N19" s="115"/>
      <c r="O19" s="431">
        <v>9599.65</v>
      </c>
      <c r="P19" s="115">
        <f t="shared" si="5"/>
        <v>550348</v>
      </c>
      <c r="Q19" s="115" t="s">
        <v>56</v>
      </c>
      <c r="R19" s="115">
        <v>550348</v>
      </c>
      <c r="S19" s="115" t="s">
        <v>47</v>
      </c>
      <c r="T19" s="115"/>
      <c r="U19" s="115"/>
      <c r="V19" s="115"/>
      <c r="W19" s="115">
        <v>3726</v>
      </c>
      <c r="X19" s="115">
        <v>550</v>
      </c>
      <c r="Y19" s="115" t="s">
        <v>48</v>
      </c>
      <c r="Z19" s="115"/>
      <c r="AA19" s="115"/>
      <c r="AB19" s="115"/>
      <c r="AC19" s="115"/>
      <c r="AD19" s="115"/>
      <c r="AE19" s="115"/>
      <c r="AF19" s="291"/>
      <c r="AG19" s="246">
        <v>43241</v>
      </c>
      <c r="AH19" s="133">
        <f>AI19</f>
        <v>554624</v>
      </c>
      <c r="AI19" s="132">
        <f t="shared" si="6"/>
        <v>554624</v>
      </c>
      <c r="AJ19" s="132">
        <f t="shared" si="7"/>
        <v>554624</v>
      </c>
      <c r="AK19" s="132">
        <f t="shared" si="8"/>
        <v>0</v>
      </c>
      <c r="AL19" s="176"/>
      <c r="AM19" s="133"/>
      <c r="AN19" s="246">
        <v>44841</v>
      </c>
      <c r="AO19" s="259"/>
    </row>
    <row r="20" s="187" customFormat="1" customHeight="1" spans="1:41">
      <c r="A20" s="115" t="s">
        <v>112</v>
      </c>
      <c r="B20" s="115" t="s">
        <v>113</v>
      </c>
      <c r="C20" s="193" t="s">
        <v>114</v>
      </c>
      <c r="D20" s="193" t="str">
        <f t="shared" si="1"/>
        <v>李菲410105198406030091</v>
      </c>
      <c r="E20" s="155">
        <v>15093099119</v>
      </c>
      <c r="F20" s="115"/>
      <c r="G20" s="115">
        <v>10</v>
      </c>
      <c r="H20" s="115">
        <v>2</v>
      </c>
      <c r="I20" s="115">
        <v>19</v>
      </c>
      <c r="J20" s="115">
        <v>1905</v>
      </c>
      <c r="K20" s="115">
        <v>93.84</v>
      </c>
      <c r="L20" s="115">
        <v>9100</v>
      </c>
      <c r="M20" s="115"/>
      <c r="N20" s="115"/>
      <c r="O20" s="431">
        <v>9000</v>
      </c>
      <c r="P20" s="115">
        <f t="shared" si="5"/>
        <v>844560</v>
      </c>
      <c r="Q20" s="115" t="s">
        <v>46</v>
      </c>
      <c r="R20" s="115">
        <v>444560</v>
      </c>
      <c r="S20" s="115"/>
      <c r="T20" s="115" t="s">
        <v>47</v>
      </c>
      <c r="U20" s="115"/>
      <c r="V20" s="115">
        <v>400000</v>
      </c>
      <c r="W20" s="115">
        <v>6099</v>
      </c>
      <c r="X20" s="115">
        <v>80</v>
      </c>
      <c r="Y20" s="115" t="s">
        <v>48</v>
      </c>
      <c r="Z20" s="115"/>
      <c r="AA20" s="115"/>
      <c r="AB20" s="115"/>
      <c r="AC20" s="115"/>
      <c r="AD20" s="115"/>
      <c r="AE20" s="115"/>
      <c r="AF20" s="291"/>
      <c r="AG20" s="246">
        <v>43091</v>
      </c>
      <c r="AH20" s="133">
        <f>AJ20</f>
        <v>850739</v>
      </c>
      <c r="AI20" s="132">
        <f t="shared" si="6"/>
        <v>850739</v>
      </c>
      <c r="AJ20" s="132">
        <f t="shared" si="7"/>
        <v>850739</v>
      </c>
      <c r="AK20" s="132">
        <f t="shared" si="8"/>
        <v>0</v>
      </c>
      <c r="AL20" s="176"/>
      <c r="AM20" s="133"/>
      <c r="AN20" s="246">
        <v>44841</v>
      </c>
      <c r="AO20" s="259"/>
    </row>
    <row r="21" s="187" customFormat="1" customHeight="1" spans="1:41">
      <c r="A21" s="115" t="s">
        <v>115</v>
      </c>
      <c r="B21" s="115" t="s">
        <v>116</v>
      </c>
      <c r="C21" s="193" t="s">
        <v>117</v>
      </c>
      <c r="D21" s="193" t="str">
        <f t="shared" si="1"/>
        <v>李晶晶411282198304052627</v>
      </c>
      <c r="E21" s="155" t="s">
        <v>118</v>
      </c>
      <c r="F21" s="115"/>
      <c r="G21" s="115">
        <v>3</v>
      </c>
      <c r="H21" s="115"/>
      <c r="I21" s="115">
        <v>11</v>
      </c>
      <c r="J21" s="115">
        <v>1106</v>
      </c>
      <c r="K21" s="115">
        <v>61.66</v>
      </c>
      <c r="L21" s="115">
        <v>20000</v>
      </c>
      <c r="M21" s="115"/>
      <c r="N21" s="115"/>
      <c r="O21" s="431">
        <v>14666.22</v>
      </c>
      <c r="P21" s="115">
        <f t="shared" si="5"/>
        <v>904319</v>
      </c>
      <c r="Q21" s="115" t="s">
        <v>66</v>
      </c>
      <c r="R21" s="115">
        <v>454319</v>
      </c>
      <c r="S21" s="115"/>
      <c r="T21" s="115">
        <v>450000</v>
      </c>
      <c r="U21" s="115"/>
      <c r="V21" s="115"/>
      <c r="W21" s="115">
        <v>4007</v>
      </c>
      <c r="X21" s="115">
        <v>550</v>
      </c>
      <c r="Y21" s="115" t="s">
        <v>48</v>
      </c>
      <c r="Z21" s="115"/>
      <c r="AA21" s="115"/>
      <c r="AB21" s="115">
        <f>1265</f>
        <v>1265</v>
      </c>
      <c r="AC21" s="115"/>
      <c r="AD21" s="115"/>
      <c r="AE21" s="115"/>
      <c r="AF21" s="291"/>
      <c r="AG21" s="246" t="s">
        <v>119</v>
      </c>
      <c r="AH21" s="133">
        <f>X21+W21+R21-135000</f>
        <v>323876</v>
      </c>
      <c r="AI21" s="132">
        <f t="shared" si="6"/>
        <v>460141</v>
      </c>
      <c r="AJ21" s="132">
        <f t="shared" si="7"/>
        <v>458876</v>
      </c>
      <c r="AK21" s="132">
        <f t="shared" si="8"/>
        <v>1265</v>
      </c>
      <c r="AL21" s="176"/>
      <c r="AM21" s="133"/>
      <c r="AN21" s="246">
        <v>44841</v>
      </c>
      <c r="AO21" s="259"/>
    </row>
    <row r="22" s="187" customFormat="1" customHeight="1" spans="1:41">
      <c r="A22" s="115" t="s">
        <v>120</v>
      </c>
      <c r="B22" s="115" t="s">
        <v>121</v>
      </c>
      <c r="C22" s="193" t="s">
        <v>122</v>
      </c>
      <c r="D22" s="193" t="str">
        <f t="shared" si="1"/>
        <v>李宁410621196310100049</v>
      </c>
      <c r="E22" s="155">
        <v>13323926092</v>
      </c>
      <c r="F22" s="115"/>
      <c r="G22" s="115">
        <v>9</v>
      </c>
      <c r="H22" s="115">
        <v>3</v>
      </c>
      <c r="I22" s="115">
        <v>19</v>
      </c>
      <c r="J22" s="115">
        <v>1902</v>
      </c>
      <c r="K22" s="115">
        <v>99.56</v>
      </c>
      <c r="L22" s="115">
        <v>19570</v>
      </c>
      <c r="M22" s="115"/>
      <c r="N22" s="115"/>
      <c r="O22" s="431">
        <v>19570</v>
      </c>
      <c r="P22" s="115">
        <f t="shared" si="5"/>
        <v>1948389</v>
      </c>
      <c r="Q22" s="115" t="s">
        <v>56</v>
      </c>
      <c r="R22" s="115">
        <v>1948389</v>
      </c>
      <c r="S22" s="115"/>
      <c r="T22" s="115" t="s">
        <v>47</v>
      </c>
      <c r="U22" s="115"/>
      <c r="V22" s="115"/>
      <c r="W22" s="115">
        <v>6471</v>
      </c>
      <c r="X22" s="115">
        <v>80</v>
      </c>
      <c r="Y22" s="115" t="s">
        <v>48</v>
      </c>
      <c r="Z22" s="115"/>
      <c r="AA22" s="115"/>
      <c r="AB22" s="115"/>
      <c r="AC22" s="115"/>
      <c r="AD22" s="115"/>
      <c r="AE22" s="115" t="s">
        <v>123</v>
      </c>
      <c r="AF22" s="291" t="s">
        <v>124</v>
      </c>
      <c r="AG22" s="246">
        <v>43979</v>
      </c>
      <c r="AH22" s="133"/>
      <c r="AI22" s="132">
        <f t="shared" si="6"/>
        <v>1954940</v>
      </c>
      <c r="AJ22" s="132">
        <f t="shared" si="7"/>
        <v>1954940</v>
      </c>
      <c r="AK22" s="132">
        <f t="shared" si="8"/>
        <v>0</v>
      </c>
      <c r="AL22" s="176"/>
      <c r="AM22" s="133"/>
      <c r="AN22" s="246">
        <v>44841</v>
      </c>
      <c r="AO22" s="259"/>
    </row>
    <row r="23" s="187" customFormat="1" customHeight="1" spans="1:41">
      <c r="A23" s="115" t="s">
        <v>125</v>
      </c>
      <c r="B23" s="115" t="s">
        <v>126</v>
      </c>
      <c r="C23" s="193" t="s">
        <v>127</v>
      </c>
      <c r="D23" s="193" t="str">
        <f t="shared" si="1"/>
        <v>宋秀丽412724197710122942</v>
      </c>
      <c r="E23" s="155">
        <v>13849091662</v>
      </c>
      <c r="F23" s="115"/>
      <c r="G23" s="115">
        <v>9</v>
      </c>
      <c r="H23" s="115">
        <v>3</v>
      </c>
      <c r="I23" s="115">
        <v>21</v>
      </c>
      <c r="J23" s="115">
        <v>2103</v>
      </c>
      <c r="K23" s="115">
        <v>99.56</v>
      </c>
      <c r="L23" s="115">
        <v>8227</v>
      </c>
      <c r="M23" s="115"/>
      <c r="N23" s="115"/>
      <c r="O23" s="431">
        <v>8116.5</v>
      </c>
      <c r="P23" s="115">
        <f t="shared" si="5"/>
        <v>808079</v>
      </c>
      <c r="Q23" s="115" t="s">
        <v>46</v>
      </c>
      <c r="R23" s="115">
        <v>333763</v>
      </c>
      <c r="S23" s="115"/>
      <c r="T23" s="115" t="s">
        <v>47</v>
      </c>
      <c r="U23" s="115">
        <v>154316</v>
      </c>
      <c r="V23" s="115">
        <v>320000</v>
      </c>
      <c r="W23" s="115">
        <v>6471</v>
      </c>
      <c r="X23" s="115">
        <v>80</v>
      </c>
      <c r="Y23" s="115"/>
      <c r="Z23" s="115" t="s">
        <v>48</v>
      </c>
      <c r="AA23" s="115"/>
      <c r="AB23" s="115"/>
      <c r="AC23" s="115">
        <v>1160070.92</v>
      </c>
      <c r="AD23" s="115">
        <f>-5000+154316</f>
        <v>149316</v>
      </c>
      <c r="AE23" s="115"/>
      <c r="AF23" s="291"/>
      <c r="AG23" s="246">
        <v>43096</v>
      </c>
      <c r="AH23" s="133">
        <f>R23+W23+X23</f>
        <v>340314</v>
      </c>
      <c r="AI23" s="132">
        <f t="shared" si="6"/>
        <v>1969700.92</v>
      </c>
      <c r="AJ23" s="132">
        <f t="shared" si="7"/>
        <v>660314</v>
      </c>
      <c r="AK23" s="132">
        <f t="shared" si="8"/>
        <v>1309386.92</v>
      </c>
      <c r="AL23" s="176" t="s">
        <v>128</v>
      </c>
      <c r="AM23" s="133"/>
      <c r="AN23" s="246">
        <v>44841</v>
      </c>
      <c r="AO23" s="259"/>
    </row>
    <row r="24" s="187" customFormat="1" customHeight="1" spans="1:41">
      <c r="A24" s="115" t="s">
        <v>129</v>
      </c>
      <c r="B24" s="115" t="s">
        <v>130</v>
      </c>
      <c r="C24" s="193" t="s">
        <v>131</v>
      </c>
      <c r="D24" s="193" t="str">
        <f t="shared" si="1"/>
        <v>张国彬410105197001106110</v>
      </c>
      <c r="E24" s="155" t="s">
        <v>132</v>
      </c>
      <c r="F24" s="115" t="s">
        <v>133</v>
      </c>
      <c r="G24" s="115">
        <v>3</v>
      </c>
      <c r="H24" s="115"/>
      <c r="I24" s="115">
        <v>15</v>
      </c>
      <c r="J24" s="115">
        <v>1523</v>
      </c>
      <c r="K24" s="115">
        <v>59.07</v>
      </c>
      <c r="L24" s="115">
        <v>20000</v>
      </c>
      <c r="M24" s="115"/>
      <c r="N24" s="115"/>
      <c r="O24" s="431">
        <v>11441.27</v>
      </c>
      <c r="P24" s="115">
        <f t="shared" si="5"/>
        <v>675836</v>
      </c>
      <c r="Q24" s="115" t="s">
        <v>66</v>
      </c>
      <c r="R24" s="115">
        <v>345836</v>
      </c>
      <c r="S24" s="115"/>
      <c r="T24" s="115" t="s">
        <v>47</v>
      </c>
      <c r="U24" s="115"/>
      <c r="V24" s="115">
        <v>330000</v>
      </c>
      <c r="W24" s="115">
        <v>3839</v>
      </c>
      <c r="X24" s="115">
        <v>550</v>
      </c>
      <c r="Y24" s="115" t="s">
        <v>48</v>
      </c>
      <c r="Z24" s="115"/>
      <c r="AA24" s="115"/>
      <c r="AB24" s="115">
        <v>1253</v>
      </c>
      <c r="AC24" s="115"/>
      <c r="AD24" s="115"/>
      <c r="AE24" s="115"/>
      <c r="AF24" s="291"/>
      <c r="AG24" s="246">
        <v>43805</v>
      </c>
      <c r="AH24" s="133"/>
      <c r="AI24" s="132">
        <f t="shared" si="6"/>
        <v>681478</v>
      </c>
      <c r="AJ24" s="132">
        <f t="shared" si="7"/>
        <v>680225</v>
      </c>
      <c r="AK24" s="132">
        <f t="shared" si="8"/>
        <v>1253</v>
      </c>
      <c r="AL24" s="176"/>
      <c r="AM24" s="133"/>
      <c r="AN24" s="246">
        <v>44841</v>
      </c>
      <c r="AO24" s="259"/>
    </row>
    <row r="25" s="187" customFormat="1" customHeight="1" spans="1:41">
      <c r="A25" s="115" t="s">
        <v>134</v>
      </c>
      <c r="B25" s="115" t="s">
        <v>135</v>
      </c>
      <c r="C25" s="193" t="s">
        <v>136</v>
      </c>
      <c r="D25" s="193" t="str">
        <f t="shared" si="1"/>
        <v>李永喜410402198112151012</v>
      </c>
      <c r="E25" s="155">
        <v>17737716683</v>
      </c>
      <c r="F25" s="115"/>
      <c r="G25" s="115">
        <v>9</v>
      </c>
      <c r="H25" s="115">
        <v>3</v>
      </c>
      <c r="I25" s="115">
        <v>11</v>
      </c>
      <c r="J25" s="115">
        <v>1101</v>
      </c>
      <c r="K25" s="115">
        <v>93.4</v>
      </c>
      <c r="L25" s="115">
        <v>8718</v>
      </c>
      <c r="M25" s="115"/>
      <c r="N25" s="115"/>
      <c r="O25" s="431">
        <v>8617.61</v>
      </c>
      <c r="P25" s="115">
        <f t="shared" si="5"/>
        <v>804885</v>
      </c>
      <c r="Q25" s="115" t="s">
        <v>46</v>
      </c>
      <c r="R25" s="115">
        <v>243885</v>
      </c>
      <c r="S25" s="115"/>
      <c r="T25" s="115">
        <v>561000</v>
      </c>
      <c r="U25" s="115"/>
      <c r="V25" s="115"/>
      <c r="W25" s="115">
        <v>6071</v>
      </c>
      <c r="X25" s="115">
        <v>80</v>
      </c>
      <c r="Y25" s="115" t="s">
        <v>48</v>
      </c>
      <c r="Z25" s="115"/>
      <c r="AA25" s="115"/>
      <c r="AB25" s="115"/>
      <c r="AC25" s="115"/>
      <c r="AD25" s="115"/>
      <c r="AE25" s="115"/>
      <c r="AF25" s="291"/>
      <c r="AG25" s="246">
        <v>43971</v>
      </c>
      <c r="AH25" s="133"/>
      <c r="AI25" s="132">
        <f t="shared" si="6"/>
        <v>250036</v>
      </c>
      <c r="AJ25" s="132">
        <f t="shared" si="7"/>
        <v>250036</v>
      </c>
      <c r="AK25" s="132">
        <f t="shared" si="8"/>
        <v>0</v>
      </c>
      <c r="AL25" s="176"/>
      <c r="AM25" s="133"/>
      <c r="AN25" s="246">
        <v>44841</v>
      </c>
      <c r="AO25" s="259"/>
    </row>
    <row r="26" s="187" customFormat="1" customHeight="1" spans="1:41">
      <c r="A26" s="115" t="s">
        <v>137</v>
      </c>
      <c r="B26" s="115" t="s">
        <v>138</v>
      </c>
      <c r="C26" s="193" t="s">
        <v>139</v>
      </c>
      <c r="D26" s="193" t="str">
        <f t="shared" si="1"/>
        <v>张茹410103197012052426</v>
      </c>
      <c r="E26" s="155" t="s">
        <v>140</v>
      </c>
      <c r="F26" s="115"/>
      <c r="G26" s="115">
        <v>3</v>
      </c>
      <c r="H26" s="115"/>
      <c r="I26" s="115">
        <v>17</v>
      </c>
      <c r="J26" s="115">
        <v>1732</v>
      </c>
      <c r="K26" s="115">
        <v>55.78</v>
      </c>
      <c r="L26" s="115">
        <v>20000</v>
      </c>
      <c r="M26" s="115"/>
      <c r="N26" s="115"/>
      <c r="O26" s="431">
        <v>13696.5257879656</v>
      </c>
      <c r="P26" s="115">
        <f t="shared" si="5"/>
        <v>763992</v>
      </c>
      <c r="Q26" s="115" t="s">
        <v>56</v>
      </c>
      <c r="R26" s="115">
        <v>763992</v>
      </c>
      <c r="S26" s="115"/>
      <c r="T26" s="115" t="s">
        <v>47</v>
      </c>
      <c r="U26" s="115"/>
      <c r="V26" s="115"/>
      <c r="W26" s="115">
        <v>3625</v>
      </c>
      <c r="X26" s="115">
        <v>550</v>
      </c>
      <c r="Y26" s="115" t="s">
        <v>48</v>
      </c>
      <c r="Z26" s="115"/>
      <c r="AA26" s="115"/>
      <c r="AB26" s="115"/>
      <c r="AC26" s="115"/>
      <c r="AD26" s="115"/>
      <c r="AE26" s="115"/>
      <c r="AF26" s="291"/>
      <c r="AG26" s="246">
        <v>43975</v>
      </c>
      <c r="AH26" s="133"/>
      <c r="AI26" s="132">
        <f t="shared" si="6"/>
        <v>768167</v>
      </c>
      <c r="AJ26" s="132">
        <f t="shared" si="7"/>
        <v>768167</v>
      </c>
      <c r="AK26" s="132">
        <f t="shared" si="8"/>
        <v>0</v>
      </c>
      <c r="AL26" s="176"/>
      <c r="AM26" s="133"/>
      <c r="AN26" s="246">
        <v>44841</v>
      </c>
      <c r="AO26" s="259"/>
    </row>
    <row r="27" s="187" customFormat="1" customHeight="1" spans="1:41">
      <c r="A27" s="115" t="s">
        <v>141</v>
      </c>
      <c r="B27" s="115" t="s">
        <v>142</v>
      </c>
      <c r="C27" s="193" t="s">
        <v>143</v>
      </c>
      <c r="D27" s="193" t="str">
        <f t="shared" si="1"/>
        <v>郑肖雷410203198209160017</v>
      </c>
      <c r="E27" s="155">
        <v>18530818660</v>
      </c>
      <c r="F27" s="115"/>
      <c r="G27" s="115">
        <v>10</v>
      </c>
      <c r="H27" s="115">
        <v>2</v>
      </c>
      <c r="I27" s="115">
        <v>21</v>
      </c>
      <c r="J27" s="115">
        <v>2105</v>
      </c>
      <c r="K27" s="115">
        <v>93.84</v>
      </c>
      <c r="L27" s="115">
        <v>9100</v>
      </c>
      <c r="M27" s="115"/>
      <c r="N27" s="115"/>
      <c r="O27" s="431">
        <v>9000</v>
      </c>
      <c r="P27" s="115">
        <f t="shared" si="5"/>
        <v>844560</v>
      </c>
      <c r="Q27" s="115" t="s">
        <v>46</v>
      </c>
      <c r="R27" s="115">
        <v>444560</v>
      </c>
      <c r="S27" s="115"/>
      <c r="T27" s="115" t="s">
        <v>47</v>
      </c>
      <c r="U27" s="115"/>
      <c r="V27" s="115">
        <v>400000</v>
      </c>
      <c r="W27" s="115">
        <v>6099</v>
      </c>
      <c r="X27" s="115">
        <v>80</v>
      </c>
      <c r="Y27" s="115" t="s">
        <v>48</v>
      </c>
      <c r="Z27" s="115"/>
      <c r="AA27" s="115"/>
      <c r="AB27" s="115"/>
      <c r="AC27" s="115">
        <v>279.63</v>
      </c>
      <c r="AD27" s="115"/>
      <c r="AE27" s="115"/>
      <c r="AF27" s="291"/>
      <c r="AG27" s="246">
        <v>44027</v>
      </c>
      <c r="AH27" s="133">
        <f>W27+X27</f>
        <v>6179</v>
      </c>
      <c r="AI27" s="132">
        <f t="shared" si="6"/>
        <v>851018.63</v>
      </c>
      <c r="AJ27" s="132">
        <f t="shared" si="7"/>
        <v>850739</v>
      </c>
      <c r="AK27" s="132">
        <f t="shared" si="8"/>
        <v>279.630000000005</v>
      </c>
      <c r="AL27" s="176" t="s">
        <v>144</v>
      </c>
      <c r="AM27" s="133"/>
      <c r="AN27" s="246">
        <v>44841</v>
      </c>
      <c r="AO27" s="259"/>
    </row>
    <row r="28" s="187" customFormat="1" customHeight="1" spans="1:41">
      <c r="A28" s="115" t="s">
        <v>145</v>
      </c>
      <c r="B28" s="115" t="s">
        <v>146</v>
      </c>
      <c r="C28" s="193" t="s">
        <v>147</v>
      </c>
      <c r="D28" s="193" t="str">
        <f t="shared" si="1"/>
        <v>李智瑞410522197810253741</v>
      </c>
      <c r="E28" s="155">
        <v>18537281111</v>
      </c>
      <c r="F28" s="115"/>
      <c r="G28" s="115">
        <v>3</v>
      </c>
      <c r="H28" s="115"/>
      <c r="I28" s="115">
        <v>16</v>
      </c>
      <c r="J28" s="115">
        <v>1602</v>
      </c>
      <c r="K28" s="115">
        <v>47.59</v>
      </c>
      <c r="L28" s="115">
        <v>20000</v>
      </c>
      <c r="M28" s="115"/>
      <c r="N28" s="115"/>
      <c r="O28" s="431">
        <v>12300</v>
      </c>
      <c r="P28" s="115">
        <v>585357</v>
      </c>
      <c r="Q28" s="115" t="s">
        <v>66</v>
      </c>
      <c r="R28" s="115">
        <v>295357</v>
      </c>
      <c r="S28" s="115"/>
      <c r="T28" s="115" t="s">
        <v>47</v>
      </c>
      <c r="U28" s="115"/>
      <c r="V28" s="115">
        <v>290000</v>
      </c>
      <c r="W28" s="115">
        <v>3093</v>
      </c>
      <c r="X28" s="115">
        <v>550</v>
      </c>
      <c r="Y28" s="115" t="s">
        <v>48</v>
      </c>
      <c r="Z28" s="115"/>
      <c r="AA28" s="115">
        <v>615</v>
      </c>
      <c r="AB28" s="115">
        <f>1579+460</f>
        <v>2039</v>
      </c>
      <c r="AC28" s="115"/>
      <c r="AD28" s="115"/>
      <c r="AE28" s="115"/>
      <c r="AF28" s="291"/>
      <c r="AG28" s="246">
        <v>43073</v>
      </c>
      <c r="AH28" s="133">
        <f>R28+W28+X28</f>
        <v>299000</v>
      </c>
      <c r="AI28" s="132">
        <f t="shared" si="6"/>
        <v>591654</v>
      </c>
      <c r="AJ28" s="132">
        <f t="shared" si="7"/>
        <v>589615</v>
      </c>
      <c r="AK28" s="132">
        <f t="shared" si="8"/>
        <v>2039</v>
      </c>
      <c r="AL28" s="176" t="s">
        <v>148</v>
      </c>
      <c r="AM28" s="133"/>
      <c r="AN28" s="246">
        <v>44841</v>
      </c>
      <c r="AO28" s="259"/>
    </row>
    <row r="29" s="187" customFormat="1" customHeight="1" spans="1:41">
      <c r="A29" s="115" t="s">
        <v>149</v>
      </c>
      <c r="B29" s="115" t="s">
        <v>150</v>
      </c>
      <c r="C29" s="193" t="s">
        <v>151</v>
      </c>
      <c r="D29" s="193" t="str">
        <f t="shared" si="1"/>
        <v>房书斌410503198012131518</v>
      </c>
      <c r="E29" s="155">
        <v>13938691111</v>
      </c>
      <c r="F29" s="115"/>
      <c r="G29" s="115">
        <v>3</v>
      </c>
      <c r="H29" s="115"/>
      <c r="I29" s="115">
        <v>17</v>
      </c>
      <c r="J29" s="115">
        <v>1730</v>
      </c>
      <c r="K29" s="115">
        <v>57.33</v>
      </c>
      <c r="L29" s="115">
        <v>20000</v>
      </c>
      <c r="M29" s="115"/>
      <c r="N29" s="115"/>
      <c r="O29" s="431">
        <v>12300</v>
      </c>
      <c r="P29" s="115">
        <v>705159</v>
      </c>
      <c r="Q29" s="115" t="s">
        <v>66</v>
      </c>
      <c r="R29" s="115">
        <v>355159</v>
      </c>
      <c r="S29" s="115"/>
      <c r="T29" s="115" t="s">
        <v>47</v>
      </c>
      <c r="U29" s="115"/>
      <c r="V29" s="115">
        <v>350000</v>
      </c>
      <c r="W29" s="115">
        <v>3726</v>
      </c>
      <c r="X29" s="115">
        <v>550</v>
      </c>
      <c r="Y29" s="115" t="s">
        <v>48</v>
      </c>
      <c r="Z29" s="115"/>
      <c r="AA29" s="115">
        <v>1230</v>
      </c>
      <c r="AB29" s="115">
        <f>1585</f>
        <v>1585</v>
      </c>
      <c r="AC29" s="115"/>
      <c r="AD29" s="115"/>
      <c r="AE29" s="115"/>
      <c r="AF29" s="291"/>
      <c r="AG29" s="246">
        <v>43073</v>
      </c>
      <c r="AH29" s="133">
        <f>R29+W29+X29</f>
        <v>359435</v>
      </c>
      <c r="AI29" s="132">
        <f t="shared" si="6"/>
        <v>712250</v>
      </c>
      <c r="AJ29" s="132">
        <f t="shared" si="7"/>
        <v>710665</v>
      </c>
      <c r="AK29" s="132">
        <f t="shared" si="8"/>
        <v>1585</v>
      </c>
      <c r="AL29" s="176" t="s">
        <v>152</v>
      </c>
      <c r="AM29" s="133"/>
      <c r="AN29" s="246">
        <v>44841</v>
      </c>
      <c r="AO29" s="259"/>
    </row>
    <row r="30" s="187" customFormat="1" customHeight="1" spans="1:41">
      <c r="A30" s="115" t="s">
        <v>153</v>
      </c>
      <c r="B30" s="115" t="s">
        <v>154</v>
      </c>
      <c r="C30" s="193" t="s">
        <v>155</v>
      </c>
      <c r="D30" s="193" t="str">
        <f t="shared" si="1"/>
        <v>王志勇410105196109231015</v>
      </c>
      <c r="E30" s="155">
        <v>15137132351</v>
      </c>
      <c r="F30" s="115"/>
      <c r="G30" s="115">
        <v>9</v>
      </c>
      <c r="H30" s="115">
        <v>3</v>
      </c>
      <c r="I30" s="115">
        <v>30</v>
      </c>
      <c r="J30" s="115">
        <v>3004</v>
      </c>
      <c r="K30" s="115">
        <v>94.65</v>
      </c>
      <c r="L30" s="115">
        <v>8830</v>
      </c>
      <c r="M30" s="115"/>
      <c r="N30" s="115"/>
      <c r="O30" s="431">
        <v>8729.61</v>
      </c>
      <c r="P30" s="115">
        <v>826257.733565737</v>
      </c>
      <c r="Q30" s="115" t="s">
        <v>56</v>
      </c>
      <c r="R30" s="115">
        <v>826258</v>
      </c>
      <c r="S30" s="115"/>
      <c r="T30" s="115">
        <v>0</v>
      </c>
      <c r="U30" s="115"/>
      <c r="V30" s="115"/>
      <c r="W30" s="115">
        <v>6152</v>
      </c>
      <c r="X30" s="115">
        <v>80</v>
      </c>
      <c r="Y30" s="115"/>
      <c r="Z30" s="115" t="s">
        <v>48</v>
      </c>
      <c r="AA30" s="115"/>
      <c r="AB30" s="115"/>
      <c r="AC30" s="115"/>
      <c r="AD30" s="115"/>
      <c r="AE30" s="115"/>
      <c r="AF30" s="291"/>
      <c r="AG30" s="246">
        <v>42255</v>
      </c>
      <c r="AH30" s="133">
        <f>W30+X30</f>
        <v>6232</v>
      </c>
      <c r="AI30" s="132">
        <f t="shared" ref="AI30:AI37" si="9">R30+V30+W30+X30+AA30+AB30+AC30+AD30</f>
        <v>832490</v>
      </c>
      <c r="AJ30" s="132">
        <f t="shared" ref="AJ30:AJ37" si="10">R30+W30+V30+X30+AA30</f>
        <v>832490</v>
      </c>
      <c r="AK30" s="132">
        <f t="shared" ref="AK30:AK37" si="11">AI30-AJ30</f>
        <v>0</v>
      </c>
      <c r="AL30" s="176"/>
      <c r="AM30" s="133"/>
      <c r="AN30" s="246">
        <v>44841</v>
      </c>
      <c r="AO30" s="259"/>
    </row>
    <row r="31" s="187" customFormat="1" customHeight="1" spans="1:41">
      <c r="A31" s="115" t="s">
        <v>156</v>
      </c>
      <c r="B31" s="115" t="s">
        <v>157</v>
      </c>
      <c r="C31" s="193" t="s">
        <v>158</v>
      </c>
      <c r="D31" s="193" t="str">
        <f t="shared" si="1"/>
        <v>朱箫洁411121198005162027</v>
      </c>
      <c r="E31" s="155" t="s">
        <v>159</v>
      </c>
      <c r="F31" s="115"/>
      <c r="G31" s="115">
        <v>3</v>
      </c>
      <c r="H31" s="115"/>
      <c r="I31" s="115">
        <v>22</v>
      </c>
      <c r="J31" s="115">
        <v>2234</v>
      </c>
      <c r="K31" s="115">
        <v>55.51</v>
      </c>
      <c r="L31" s="115">
        <v>30000</v>
      </c>
      <c r="M31" s="115"/>
      <c r="N31" s="115"/>
      <c r="O31" s="431">
        <v>12500</v>
      </c>
      <c r="P31" s="115">
        <f>ROUND(O31*K31,0)</f>
        <v>693875</v>
      </c>
      <c r="Q31" s="115" t="s">
        <v>56</v>
      </c>
      <c r="R31" s="115">
        <v>693875</v>
      </c>
      <c r="S31" s="115"/>
      <c r="T31" s="115" t="s">
        <v>47</v>
      </c>
      <c r="U31" s="115"/>
      <c r="V31" s="115"/>
      <c r="W31" s="115">
        <v>3608</v>
      </c>
      <c r="X31" s="115">
        <v>550</v>
      </c>
      <c r="Y31" s="115" t="s">
        <v>48</v>
      </c>
      <c r="Z31" s="115"/>
      <c r="AA31" s="115"/>
      <c r="AB31" s="115"/>
      <c r="AC31" s="115"/>
      <c r="AD31" s="115"/>
      <c r="AE31" s="115"/>
      <c r="AF31" s="291" t="s">
        <v>160</v>
      </c>
      <c r="AG31" s="246">
        <v>43075</v>
      </c>
      <c r="AH31" s="133"/>
      <c r="AI31" s="132">
        <f t="shared" si="9"/>
        <v>698033</v>
      </c>
      <c r="AJ31" s="132">
        <f t="shared" si="10"/>
        <v>698033</v>
      </c>
      <c r="AK31" s="132">
        <f t="shared" si="11"/>
        <v>0</v>
      </c>
      <c r="AL31" s="176"/>
      <c r="AM31" s="133"/>
      <c r="AN31" s="246">
        <v>44841</v>
      </c>
      <c r="AO31" s="259"/>
    </row>
    <row r="32" s="187" customFormat="1" customHeight="1" spans="1:41">
      <c r="A32" s="115" t="s">
        <v>161</v>
      </c>
      <c r="B32" s="115" t="s">
        <v>162</v>
      </c>
      <c r="C32" s="193" t="s">
        <v>163</v>
      </c>
      <c r="D32" s="193" t="str">
        <f t="shared" si="1"/>
        <v>付艳艳411081198407311567</v>
      </c>
      <c r="E32" s="155" t="s">
        <v>164</v>
      </c>
      <c r="F32" s="115"/>
      <c r="G32" s="115">
        <v>2</v>
      </c>
      <c r="H32" s="115"/>
      <c r="I32" s="115">
        <v>11</v>
      </c>
      <c r="J32" s="115">
        <v>1111</v>
      </c>
      <c r="K32" s="115">
        <v>49.89</v>
      </c>
      <c r="L32" s="115">
        <v>30000</v>
      </c>
      <c r="M32" s="115"/>
      <c r="N32" s="115"/>
      <c r="O32" s="431">
        <v>14632.19</v>
      </c>
      <c r="P32" s="115">
        <f>ROUND(O32*K32,0)</f>
        <v>730000</v>
      </c>
      <c r="Q32" s="115" t="s">
        <v>66</v>
      </c>
      <c r="R32" s="115">
        <v>370000</v>
      </c>
      <c r="S32" s="115"/>
      <c r="T32" s="115">
        <v>360000</v>
      </c>
      <c r="U32" s="115"/>
      <c r="V32" s="115"/>
      <c r="W32" s="115">
        <v>3242</v>
      </c>
      <c r="X32" s="115">
        <v>550</v>
      </c>
      <c r="Y32" s="115"/>
      <c r="Z32" s="115"/>
      <c r="AA32" s="115"/>
      <c r="AB32" s="115"/>
      <c r="AC32" s="115"/>
      <c r="AD32" s="115"/>
      <c r="AE32" s="115"/>
      <c r="AF32" s="291" t="s">
        <v>165</v>
      </c>
      <c r="AG32" s="246">
        <v>43308</v>
      </c>
      <c r="AH32" s="133">
        <f>R32+W32+X32</f>
        <v>373792</v>
      </c>
      <c r="AI32" s="132">
        <f t="shared" si="9"/>
        <v>373792</v>
      </c>
      <c r="AJ32" s="132">
        <f t="shared" si="10"/>
        <v>373792</v>
      </c>
      <c r="AK32" s="132">
        <f t="shared" si="11"/>
        <v>0</v>
      </c>
      <c r="AL32" s="176"/>
      <c r="AM32" s="133"/>
      <c r="AN32" s="246">
        <v>44841</v>
      </c>
      <c r="AO32" s="259"/>
    </row>
    <row r="33" s="187" customFormat="1" customHeight="1" spans="1:41">
      <c r="A33" s="115" t="s">
        <v>166</v>
      </c>
      <c r="B33" s="115" t="s">
        <v>167</v>
      </c>
      <c r="C33" s="193" t="s">
        <v>168</v>
      </c>
      <c r="D33" s="193" t="str">
        <f t="shared" si="1"/>
        <v>刘艳412726198509225429</v>
      </c>
      <c r="E33" s="155">
        <v>18339985252</v>
      </c>
      <c r="F33" s="115"/>
      <c r="G33" s="115">
        <v>9</v>
      </c>
      <c r="H33" s="115">
        <v>3</v>
      </c>
      <c r="I33" s="115">
        <v>9</v>
      </c>
      <c r="J33" s="115">
        <v>901</v>
      </c>
      <c r="K33" s="115">
        <v>93.4</v>
      </c>
      <c r="L33" s="115">
        <v>8702</v>
      </c>
      <c r="M33" s="115"/>
      <c r="N33" s="115"/>
      <c r="O33" s="431">
        <v>8601.6</v>
      </c>
      <c r="P33" s="115">
        <v>803389</v>
      </c>
      <c r="Q33" s="115" t="s">
        <v>46</v>
      </c>
      <c r="R33" s="115">
        <v>483389</v>
      </c>
      <c r="S33" s="115"/>
      <c r="T33" s="115" t="s">
        <v>47</v>
      </c>
      <c r="U33" s="115"/>
      <c r="V33" s="115">
        <v>320000</v>
      </c>
      <c r="W33" s="115">
        <v>6071</v>
      </c>
      <c r="X33" s="115">
        <v>80</v>
      </c>
      <c r="Y33" s="115"/>
      <c r="Z33" s="115" t="s">
        <v>48</v>
      </c>
      <c r="AA33" s="115"/>
      <c r="AB33" s="115">
        <v>1140</v>
      </c>
      <c r="AC33" s="115"/>
      <c r="AD33" s="115"/>
      <c r="AE33" s="115"/>
      <c r="AF33" s="291"/>
      <c r="AG33" s="246">
        <v>43099</v>
      </c>
      <c r="AH33" s="133">
        <f>W33+X33</f>
        <v>6151</v>
      </c>
      <c r="AI33" s="132">
        <f t="shared" si="9"/>
        <v>810680</v>
      </c>
      <c r="AJ33" s="132">
        <f t="shared" si="10"/>
        <v>809540</v>
      </c>
      <c r="AK33" s="132">
        <f t="shared" si="11"/>
        <v>1140</v>
      </c>
      <c r="AL33" s="176" t="s">
        <v>169</v>
      </c>
      <c r="AM33" s="133"/>
      <c r="AN33" s="246">
        <v>44841</v>
      </c>
      <c r="AO33" s="259"/>
    </row>
    <row r="34" s="187" customFormat="1" customHeight="1" spans="1:41">
      <c r="A34" s="115" t="s">
        <v>170</v>
      </c>
      <c r="B34" s="115" t="s">
        <v>171</v>
      </c>
      <c r="C34" s="193" t="s">
        <v>172</v>
      </c>
      <c r="D34" s="193" t="str">
        <f t="shared" si="1"/>
        <v>孔德丽41010519640414052x</v>
      </c>
      <c r="E34" s="155">
        <v>15890610896</v>
      </c>
      <c r="F34" s="115"/>
      <c r="G34" s="115">
        <v>10</v>
      </c>
      <c r="H34" s="115">
        <v>2</v>
      </c>
      <c r="I34" s="115">
        <v>12</v>
      </c>
      <c r="J34" s="115">
        <v>1206</v>
      </c>
      <c r="K34" s="115">
        <v>99.52</v>
      </c>
      <c r="L34" s="115">
        <v>8600</v>
      </c>
      <c r="M34" s="115"/>
      <c r="N34" s="115"/>
      <c r="O34" s="431">
        <v>8500</v>
      </c>
      <c r="P34" s="115">
        <v>845920</v>
      </c>
      <c r="Q34" s="115" t="s">
        <v>56</v>
      </c>
      <c r="R34" s="115">
        <v>876602</v>
      </c>
      <c r="S34" s="115">
        <v>-30682</v>
      </c>
      <c r="T34" s="115" t="s">
        <v>47</v>
      </c>
      <c r="U34" s="115"/>
      <c r="V34" s="115"/>
      <c r="W34" s="115">
        <v>6468</v>
      </c>
      <c r="X34" s="115">
        <v>80</v>
      </c>
      <c r="Y34" s="115" t="s">
        <v>48</v>
      </c>
      <c r="Z34" s="115"/>
      <c r="AA34" s="115"/>
      <c r="AB34" s="115"/>
      <c r="AC34" s="115"/>
      <c r="AD34" s="115"/>
      <c r="AE34" s="115"/>
      <c r="AF34" s="291"/>
      <c r="AG34" s="246">
        <v>43976</v>
      </c>
      <c r="AH34" s="133">
        <f>W34+X34</f>
        <v>6548</v>
      </c>
      <c r="AI34" s="132">
        <f t="shared" si="9"/>
        <v>883150</v>
      </c>
      <c r="AJ34" s="132">
        <f t="shared" si="10"/>
        <v>883150</v>
      </c>
      <c r="AK34" s="132">
        <f t="shared" si="11"/>
        <v>0</v>
      </c>
      <c r="AL34" s="176"/>
      <c r="AM34" s="133"/>
      <c r="AN34" s="246">
        <v>44841</v>
      </c>
      <c r="AO34" s="259"/>
    </row>
    <row r="35" s="187" customFormat="1" customHeight="1" spans="1:41">
      <c r="A35" s="115" t="s">
        <v>173</v>
      </c>
      <c r="B35" s="115" t="s">
        <v>174</v>
      </c>
      <c r="C35" s="193" t="s">
        <v>175</v>
      </c>
      <c r="D35" s="193" t="str">
        <f t="shared" si="1"/>
        <v>奚合忠410504196411052013</v>
      </c>
      <c r="E35" s="155">
        <v>13643838108</v>
      </c>
      <c r="F35" s="115" t="s">
        <v>176</v>
      </c>
      <c r="G35" s="115">
        <v>6</v>
      </c>
      <c r="H35" s="115">
        <v>2</v>
      </c>
      <c r="I35" s="115">
        <v>6</v>
      </c>
      <c r="J35" s="115">
        <v>602</v>
      </c>
      <c r="K35" s="115">
        <v>86.33</v>
      </c>
      <c r="L35" s="115">
        <v>17900</v>
      </c>
      <c r="M35" s="115"/>
      <c r="N35" s="115"/>
      <c r="O35" s="431">
        <v>13400</v>
      </c>
      <c r="P35" s="115">
        <v>1156822</v>
      </c>
      <c r="Q35" s="115" t="s">
        <v>56</v>
      </c>
      <c r="R35" s="115">
        <f>1156822+32767</f>
        <v>1189589</v>
      </c>
      <c r="S35" s="115">
        <v>-32767</v>
      </c>
      <c r="T35" s="115" t="s">
        <v>47</v>
      </c>
      <c r="U35" s="115"/>
      <c r="V35" s="115"/>
      <c r="W35" s="115">
        <v>5611</v>
      </c>
      <c r="X35" s="115">
        <v>80</v>
      </c>
      <c r="Y35" s="115" t="s">
        <v>48</v>
      </c>
      <c r="Z35" s="115"/>
      <c r="AA35" s="115"/>
      <c r="AB35" s="115"/>
      <c r="AC35" s="115"/>
      <c r="AD35" s="115"/>
      <c r="AE35" s="115"/>
      <c r="AF35" s="291"/>
      <c r="AG35" s="246">
        <v>44002</v>
      </c>
      <c r="AH35" s="133"/>
      <c r="AI35" s="132">
        <f t="shared" si="9"/>
        <v>1195280</v>
      </c>
      <c r="AJ35" s="132">
        <f t="shared" si="10"/>
        <v>1195280</v>
      </c>
      <c r="AK35" s="132">
        <f t="shared" si="11"/>
        <v>0</v>
      </c>
      <c r="AL35" s="176" t="s">
        <v>177</v>
      </c>
      <c r="AM35" s="133"/>
      <c r="AN35" s="246">
        <v>44841</v>
      </c>
      <c r="AO35" s="259"/>
    </row>
    <row r="36" s="187" customFormat="1" customHeight="1" spans="1:41">
      <c r="A36" s="115" t="s">
        <v>178</v>
      </c>
      <c r="B36" s="115" t="s">
        <v>179</v>
      </c>
      <c r="C36" s="193"/>
      <c r="D36" s="193" t="str">
        <f t="shared" si="1"/>
        <v>孟云</v>
      </c>
      <c r="E36" s="155">
        <v>13903710159</v>
      </c>
      <c r="F36" s="115"/>
      <c r="G36" s="115">
        <v>9</v>
      </c>
      <c r="H36" s="115">
        <v>3</v>
      </c>
      <c r="I36" s="115">
        <v>21</v>
      </c>
      <c r="J36" s="115">
        <v>2101</v>
      </c>
      <c r="K36" s="115">
        <v>93.4</v>
      </c>
      <c r="L36" s="115">
        <v>8998</v>
      </c>
      <c r="M36" s="115"/>
      <c r="N36" s="115"/>
      <c r="O36" s="431">
        <v>8697.61</v>
      </c>
      <c r="P36" s="115">
        <f>ROUND(O36*K36,0)</f>
        <v>812357</v>
      </c>
      <c r="Q36" s="115" t="s">
        <v>66</v>
      </c>
      <c r="R36" s="115">
        <v>300000</v>
      </c>
      <c r="S36" s="115"/>
      <c r="T36" s="115">
        <v>512356.673751328</v>
      </c>
      <c r="U36" s="115"/>
      <c r="V36" s="115"/>
      <c r="W36" s="115"/>
      <c r="X36" s="115"/>
      <c r="Y36" s="115"/>
      <c r="Z36" s="115"/>
      <c r="AA36" s="115"/>
      <c r="AB36" s="115"/>
      <c r="AC36" s="115"/>
      <c r="AD36" s="115"/>
      <c r="AE36" s="115"/>
      <c r="AF36" s="291"/>
      <c r="AG36" s="246">
        <v>42237</v>
      </c>
      <c r="AH36" s="133">
        <f>AJ36</f>
        <v>300000</v>
      </c>
      <c r="AI36" s="132">
        <f t="shared" si="9"/>
        <v>300000</v>
      </c>
      <c r="AJ36" s="132">
        <f t="shared" si="10"/>
        <v>300000</v>
      </c>
      <c r="AK36" s="132">
        <f t="shared" si="11"/>
        <v>0</v>
      </c>
      <c r="AL36" s="176" t="s">
        <v>177</v>
      </c>
      <c r="AM36" s="133"/>
      <c r="AN36" s="246">
        <v>44841</v>
      </c>
      <c r="AO36" s="259"/>
    </row>
    <row r="37" s="187" customFormat="1" customHeight="1" spans="1:41">
      <c r="A37" s="115" t="s">
        <v>180</v>
      </c>
      <c r="B37" s="115" t="s">
        <v>181</v>
      </c>
      <c r="C37" s="193" t="s">
        <v>182</v>
      </c>
      <c r="D37" s="193" t="str">
        <f t="shared" si="1"/>
        <v>李薇410102197503311027</v>
      </c>
      <c r="E37" s="155" t="s">
        <v>183</v>
      </c>
      <c r="F37" s="115"/>
      <c r="G37" s="115">
        <v>3</v>
      </c>
      <c r="H37" s="115"/>
      <c r="I37" s="115">
        <v>7</v>
      </c>
      <c r="J37" s="115">
        <v>701</v>
      </c>
      <c r="K37" s="115">
        <v>68.05</v>
      </c>
      <c r="L37" s="115">
        <v>20000</v>
      </c>
      <c r="M37" s="115"/>
      <c r="N37" s="115"/>
      <c r="O37" s="431">
        <v>8835.97417840376</v>
      </c>
      <c r="P37" s="115">
        <f>ROUND(O37*K37,0)</f>
        <v>601288</v>
      </c>
      <c r="Q37" s="115" t="s">
        <v>66</v>
      </c>
      <c r="R37" s="115">
        <v>302260</v>
      </c>
      <c r="S37" s="115"/>
      <c r="T37" s="115">
        <v>299028</v>
      </c>
      <c r="U37" s="115">
        <f>P37-R37</f>
        <v>299028</v>
      </c>
      <c r="V37" s="115"/>
      <c r="W37" s="115"/>
      <c r="X37" s="115"/>
      <c r="Y37" s="115"/>
      <c r="Z37" s="115"/>
      <c r="AA37" s="115"/>
      <c r="AB37" s="115"/>
      <c r="AC37" s="115"/>
      <c r="AD37" s="115"/>
      <c r="AE37" s="115"/>
      <c r="AF37" s="291"/>
      <c r="AG37" s="246">
        <v>42747</v>
      </c>
      <c r="AH37" s="133"/>
      <c r="AI37" s="132">
        <f t="shared" si="9"/>
        <v>302260</v>
      </c>
      <c r="AJ37" s="132">
        <f t="shared" si="10"/>
        <v>302260</v>
      </c>
      <c r="AK37" s="132">
        <f t="shared" si="11"/>
        <v>0</v>
      </c>
      <c r="AL37" s="176" t="s">
        <v>177</v>
      </c>
      <c r="AM37" s="133"/>
      <c r="AN37" s="246">
        <v>44841</v>
      </c>
      <c r="AO37" s="259"/>
    </row>
    <row r="38" s="187" customFormat="1" customHeight="1" spans="1:41">
      <c r="A38" s="115" t="s">
        <v>184</v>
      </c>
      <c r="B38" s="115" t="s">
        <v>185</v>
      </c>
      <c r="C38" s="193" t="s">
        <v>186</v>
      </c>
      <c r="D38" s="193" t="str">
        <f t="shared" si="1"/>
        <v>郭新战410202197409021010</v>
      </c>
      <c r="E38" s="155">
        <v>13298365861</v>
      </c>
      <c r="F38" s="115"/>
      <c r="G38" s="115">
        <v>3</v>
      </c>
      <c r="H38" s="115"/>
      <c r="I38" s="115">
        <v>17</v>
      </c>
      <c r="J38" s="115">
        <v>1727</v>
      </c>
      <c r="K38" s="115">
        <v>58.41</v>
      </c>
      <c r="L38" s="115">
        <v>20000</v>
      </c>
      <c r="M38" s="115"/>
      <c r="N38" s="115"/>
      <c r="O38" s="431">
        <v>13654.61</v>
      </c>
      <c r="P38" s="115">
        <v>797566</v>
      </c>
      <c r="Q38" s="115" t="s">
        <v>56</v>
      </c>
      <c r="R38" s="115">
        <v>797566</v>
      </c>
      <c r="S38" s="115"/>
      <c r="T38" s="115" t="s">
        <v>47</v>
      </c>
      <c r="U38" s="115"/>
      <c r="V38" s="115"/>
      <c r="W38" s="115">
        <v>3796</v>
      </c>
      <c r="X38" s="115">
        <v>550</v>
      </c>
      <c r="Y38" s="115" t="s">
        <v>48</v>
      </c>
      <c r="Z38" s="115"/>
      <c r="AA38" s="115"/>
      <c r="AB38" s="115">
        <v>3000</v>
      </c>
      <c r="AC38" s="115"/>
      <c r="AD38" s="115"/>
      <c r="AE38" s="115"/>
      <c r="AF38" s="291" t="s">
        <v>160</v>
      </c>
      <c r="AG38" s="246">
        <v>42695</v>
      </c>
      <c r="AH38" s="133">
        <f>R38+W38+X38</f>
        <v>801912</v>
      </c>
      <c r="AI38" s="132">
        <f t="shared" ref="AI38:AI50" si="12">R38+V38+W38+X38+AA38+AB38+AC38+AD38</f>
        <v>804912</v>
      </c>
      <c r="AJ38" s="132">
        <f t="shared" ref="AJ38:AJ50" si="13">R38+W38+V38+X38+AA38</f>
        <v>801912</v>
      </c>
      <c r="AK38" s="132">
        <f t="shared" ref="AK38:AK50" si="14">AI38-AJ38</f>
        <v>3000</v>
      </c>
      <c r="AL38" s="176"/>
      <c r="AM38" s="133"/>
      <c r="AN38" s="246">
        <v>44841</v>
      </c>
      <c r="AO38" s="259"/>
    </row>
    <row r="39" s="187" customFormat="1" customHeight="1" spans="1:41">
      <c r="A39" s="115" t="s">
        <v>187</v>
      </c>
      <c r="B39" s="115" t="s">
        <v>185</v>
      </c>
      <c r="C39" s="193" t="s">
        <v>186</v>
      </c>
      <c r="D39" s="193" t="str">
        <f t="shared" si="1"/>
        <v>郭新战410202197409021010</v>
      </c>
      <c r="E39" s="155">
        <v>13298365861</v>
      </c>
      <c r="F39" s="115"/>
      <c r="G39" s="115">
        <v>3</v>
      </c>
      <c r="H39" s="115"/>
      <c r="I39" s="115">
        <v>17</v>
      </c>
      <c r="J39" s="115">
        <v>1712</v>
      </c>
      <c r="K39" s="115">
        <v>65.94</v>
      </c>
      <c r="L39" s="115">
        <v>20000</v>
      </c>
      <c r="M39" s="115"/>
      <c r="N39" s="115"/>
      <c r="O39" s="431">
        <v>13013.35</v>
      </c>
      <c r="P39" s="115">
        <v>858100</v>
      </c>
      <c r="Q39" s="115" t="s">
        <v>56</v>
      </c>
      <c r="R39" s="115">
        <v>858100</v>
      </c>
      <c r="S39" s="115"/>
      <c r="T39" s="115" t="s">
        <v>47</v>
      </c>
      <c r="U39" s="115"/>
      <c r="V39" s="115"/>
      <c r="W39" s="115">
        <v>4286</v>
      </c>
      <c r="X39" s="115">
        <v>550</v>
      </c>
      <c r="Y39" s="115" t="s">
        <v>48</v>
      </c>
      <c r="Z39" s="115"/>
      <c r="AA39" s="115"/>
      <c r="AB39" s="115">
        <v>3000</v>
      </c>
      <c r="AC39" s="115"/>
      <c r="AD39" s="115"/>
      <c r="AE39" s="115"/>
      <c r="AF39" s="291" t="s">
        <v>160</v>
      </c>
      <c r="AG39" s="246">
        <v>42695</v>
      </c>
      <c r="AH39" s="133"/>
      <c r="AI39" s="132">
        <f t="shared" si="12"/>
        <v>865936</v>
      </c>
      <c r="AJ39" s="132">
        <f t="shared" si="13"/>
        <v>862936</v>
      </c>
      <c r="AK39" s="132">
        <f t="shared" si="14"/>
        <v>3000</v>
      </c>
      <c r="AL39" s="176"/>
      <c r="AM39" s="133"/>
      <c r="AN39" s="246">
        <v>44841</v>
      </c>
      <c r="AO39" s="259"/>
    </row>
    <row r="40" s="187" customFormat="1" customHeight="1" spans="1:41">
      <c r="A40" s="115" t="s">
        <v>188</v>
      </c>
      <c r="B40" s="115" t="s">
        <v>189</v>
      </c>
      <c r="C40" s="193" t="s">
        <v>190</v>
      </c>
      <c r="D40" s="193" t="str">
        <f t="shared" si="1"/>
        <v>李海鹏410103198610010079</v>
      </c>
      <c r="E40" s="155">
        <v>18638579566</v>
      </c>
      <c r="F40" s="115"/>
      <c r="G40" s="115">
        <v>6</v>
      </c>
      <c r="H40" s="115">
        <v>1</v>
      </c>
      <c r="I40" s="115">
        <v>19</v>
      </c>
      <c r="J40" s="115">
        <v>1906</v>
      </c>
      <c r="K40" s="115">
        <v>86.33</v>
      </c>
      <c r="L40" s="115">
        <v>17900</v>
      </c>
      <c r="M40" s="115"/>
      <c r="N40" s="115"/>
      <c r="O40" s="431">
        <v>15000</v>
      </c>
      <c r="P40" s="115">
        <v>1294950</v>
      </c>
      <c r="Q40" s="115" t="s">
        <v>46</v>
      </c>
      <c r="R40" s="115">
        <v>894950</v>
      </c>
      <c r="S40" s="115"/>
      <c r="T40" s="115" t="s">
        <v>47</v>
      </c>
      <c r="U40" s="115"/>
      <c r="V40" s="115">
        <v>400000</v>
      </c>
      <c r="W40" s="115">
        <v>5611</v>
      </c>
      <c r="X40" s="115">
        <v>80</v>
      </c>
      <c r="Y40" s="115" t="s">
        <v>48</v>
      </c>
      <c r="Z40" s="115"/>
      <c r="AA40" s="115"/>
      <c r="AB40" s="115"/>
      <c r="AC40" s="115"/>
      <c r="AD40" s="115"/>
      <c r="AE40" s="115"/>
      <c r="AF40" s="291" t="s">
        <v>160</v>
      </c>
      <c r="AG40" s="246">
        <v>43317</v>
      </c>
      <c r="AH40" s="133">
        <f>R40+W40+X40</f>
        <v>900641</v>
      </c>
      <c r="AI40" s="132">
        <f t="shared" si="12"/>
        <v>1300641</v>
      </c>
      <c r="AJ40" s="132">
        <f t="shared" si="13"/>
        <v>1300641</v>
      </c>
      <c r="AK40" s="132">
        <f t="shared" si="14"/>
        <v>0</v>
      </c>
      <c r="AL40" s="176" t="s">
        <v>191</v>
      </c>
      <c r="AM40" s="133"/>
      <c r="AN40" s="246">
        <v>44841</v>
      </c>
      <c r="AO40" s="259"/>
    </row>
    <row r="41" s="187" customFormat="1" customHeight="1" spans="1:41">
      <c r="A41" s="115" t="s">
        <v>192</v>
      </c>
      <c r="B41" s="115" t="s">
        <v>193</v>
      </c>
      <c r="C41" s="193" t="s">
        <v>194</v>
      </c>
      <c r="D41" s="193" t="str">
        <f t="shared" si="1"/>
        <v>王明412727197507151501</v>
      </c>
      <c r="E41" s="155">
        <v>13223071927</v>
      </c>
      <c r="F41" s="115"/>
      <c r="G41" s="115">
        <v>2</v>
      </c>
      <c r="H41" s="115"/>
      <c r="I41" s="115">
        <v>10</v>
      </c>
      <c r="J41" s="115">
        <v>1015</v>
      </c>
      <c r="K41" s="115">
        <v>49.74</v>
      </c>
      <c r="L41" s="115">
        <v>20000</v>
      </c>
      <c r="M41" s="115"/>
      <c r="N41" s="115"/>
      <c r="O41" s="431">
        <v>8920</v>
      </c>
      <c r="P41" s="115">
        <v>443681</v>
      </c>
      <c r="Q41" s="115" t="s">
        <v>56</v>
      </c>
      <c r="R41" s="115">
        <v>724338</v>
      </c>
      <c r="S41" s="115">
        <v>-280657</v>
      </c>
      <c r="T41" s="115"/>
      <c r="U41" s="115">
        <v>0</v>
      </c>
      <c r="V41" s="115"/>
      <c r="W41" s="115">
        <v>3233</v>
      </c>
      <c r="X41" s="115">
        <v>550</v>
      </c>
      <c r="Y41" s="115" t="s">
        <v>48</v>
      </c>
      <c r="Z41" s="115"/>
      <c r="AA41" s="115"/>
      <c r="AB41" s="115"/>
      <c r="AC41" s="115"/>
      <c r="AD41" s="115"/>
      <c r="AE41" s="115"/>
      <c r="AF41" s="291" t="s">
        <v>160</v>
      </c>
      <c r="AG41" s="246">
        <v>44049</v>
      </c>
      <c r="AH41" s="133"/>
      <c r="AI41" s="132">
        <f t="shared" si="12"/>
        <v>728121</v>
      </c>
      <c r="AJ41" s="132">
        <f t="shared" si="13"/>
        <v>728121</v>
      </c>
      <c r="AK41" s="132">
        <f t="shared" si="14"/>
        <v>0</v>
      </c>
      <c r="AL41" s="176" t="s">
        <v>195</v>
      </c>
      <c r="AM41" s="133"/>
      <c r="AN41" s="246">
        <v>44841</v>
      </c>
      <c r="AO41" s="259"/>
    </row>
    <row r="42" s="187" customFormat="1" customHeight="1" spans="1:41">
      <c r="A42" s="115" t="s">
        <v>196</v>
      </c>
      <c r="B42" s="115" t="s">
        <v>193</v>
      </c>
      <c r="C42" s="193" t="s">
        <v>194</v>
      </c>
      <c r="D42" s="193" t="str">
        <f t="shared" si="1"/>
        <v>王明412727197507151501</v>
      </c>
      <c r="E42" s="155" t="s">
        <v>197</v>
      </c>
      <c r="F42" s="115"/>
      <c r="G42" s="115">
        <v>3</v>
      </c>
      <c r="H42" s="115"/>
      <c r="I42" s="115">
        <v>8</v>
      </c>
      <c r="J42" s="115">
        <v>827</v>
      </c>
      <c r="K42" s="115">
        <v>58.41</v>
      </c>
      <c r="L42" s="115">
        <v>20000</v>
      </c>
      <c r="M42" s="115"/>
      <c r="N42" s="115"/>
      <c r="O42" s="431">
        <v>9525.34</v>
      </c>
      <c r="P42" s="115">
        <v>556375</v>
      </c>
      <c r="Q42" s="115" t="s">
        <v>56</v>
      </c>
      <c r="R42" s="115">
        <v>556375</v>
      </c>
      <c r="S42" s="115"/>
      <c r="T42" s="115" t="s">
        <v>47</v>
      </c>
      <c r="U42" s="115"/>
      <c r="V42" s="115"/>
      <c r="W42" s="115">
        <v>3796</v>
      </c>
      <c r="X42" s="115">
        <v>550</v>
      </c>
      <c r="Y42" s="115" t="s">
        <v>48</v>
      </c>
      <c r="Z42" s="115"/>
      <c r="AA42" s="115"/>
      <c r="AB42" s="115"/>
      <c r="AC42" s="115"/>
      <c r="AD42" s="115"/>
      <c r="AE42" s="115"/>
      <c r="AF42" s="291" t="s">
        <v>160</v>
      </c>
      <c r="AG42" s="246">
        <v>44000</v>
      </c>
      <c r="AH42" s="133"/>
      <c r="AI42" s="132">
        <f t="shared" si="12"/>
        <v>560721</v>
      </c>
      <c r="AJ42" s="132">
        <f t="shared" si="13"/>
        <v>560721</v>
      </c>
      <c r="AK42" s="132">
        <f t="shared" si="14"/>
        <v>0</v>
      </c>
      <c r="AL42" s="176" t="s">
        <v>198</v>
      </c>
      <c r="AM42" s="133"/>
      <c r="AN42" s="246">
        <v>44841</v>
      </c>
      <c r="AO42" s="259"/>
    </row>
    <row r="43" s="187" customFormat="1" customHeight="1" spans="1:41">
      <c r="A43" s="115" t="s">
        <v>199</v>
      </c>
      <c r="B43" s="115" t="s">
        <v>193</v>
      </c>
      <c r="C43" s="193" t="s">
        <v>194</v>
      </c>
      <c r="D43" s="193" t="str">
        <f t="shared" si="1"/>
        <v>王明412727197507151501</v>
      </c>
      <c r="E43" s="155">
        <v>13223071927</v>
      </c>
      <c r="F43" s="115"/>
      <c r="G43" s="115">
        <v>2</v>
      </c>
      <c r="H43" s="115"/>
      <c r="I43" s="115">
        <v>10</v>
      </c>
      <c r="J43" s="115">
        <v>1020</v>
      </c>
      <c r="K43" s="115">
        <v>58.79</v>
      </c>
      <c r="L43" s="115">
        <v>20000</v>
      </c>
      <c r="M43" s="115"/>
      <c r="N43" s="115"/>
      <c r="O43" s="431">
        <v>8900</v>
      </c>
      <c r="P43" s="115">
        <v>523231</v>
      </c>
      <c r="Q43" s="115" t="s">
        <v>56</v>
      </c>
      <c r="R43" s="115">
        <v>523231</v>
      </c>
      <c r="S43" s="115"/>
      <c r="T43" s="115"/>
      <c r="U43" s="115">
        <v>0</v>
      </c>
      <c r="V43" s="115"/>
      <c r="W43" s="115">
        <v>3821</v>
      </c>
      <c r="X43" s="115">
        <v>550</v>
      </c>
      <c r="Y43" s="115" t="s">
        <v>48</v>
      </c>
      <c r="Z43" s="115"/>
      <c r="AA43" s="115"/>
      <c r="AB43" s="115"/>
      <c r="AC43" s="115"/>
      <c r="AD43" s="115"/>
      <c r="AE43" s="115"/>
      <c r="AF43" s="291" t="s">
        <v>160</v>
      </c>
      <c r="AG43" s="246">
        <v>44049</v>
      </c>
      <c r="AH43" s="133"/>
      <c r="AI43" s="132">
        <f t="shared" si="12"/>
        <v>527602</v>
      </c>
      <c r="AJ43" s="132">
        <f t="shared" si="13"/>
        <v>527602</v>
      </c>
      <c r="AK43" s="132">
        <f t="shared" si="14"/>
        <v>0</v>
      </c>
      <c r="AL43" s="176" t="s">
        <v>200</v>
      </c>
      <c r="AM43" s="133"/>
      <c r="AN43" s="246">
        <v>44841</v>
      </c>
      <c r="AO43" s="259"/>
    </row>
    <row r="44" s="187" customFormat="1" customHeight="1" spans="1:41">
      <c r="A44" s="115" t="s">
        <v>201</v>
      </c>
      <c r="B44" s="115" t="s">
        <v>202</v>
      </c>
      <c r="C44" s="193" t="s">
        <v>203</v>
      </c>
      <c r="D44" s="193" t="str">
        <f t="shared" si="1"/>
        <v>黄莉413022197904293539</v>
      </c>
      <c r="E44" s="155">
        <v>13083606812</v>
      </c>
      <c r="F44" s="115"/>
      <c r="G44" s="115">
        <v>3</v>
      </c>
      <c r="H44" s="115"/>
      <c r="I44" s="115">
        <v>12</v>
      </c>
      <c r="J44" s="115">
        <v>1204</v>
      </c>
      <c r="K44" s="115">
        <v>56.57</v>
      </c>
      <c r="L44" s="115">
        <v>20000</v>
      </c>
      <c r="M44" s="115"/>
      <c r="N44" s="115"/>
      <c r="O44" s="431">
        <v>9605.6</v>
      </c>
      <c r="P44" s="115">
        <f t="shared" ref="P44:P48" si="15">ROUND(O44*K44,0)</f>
        <v>543389</v>
      </c>
      <c r="Q44" s="115" t="s">
        <v>66</v>
      </c>
      <c r="R44" s="115">
        <v>273389</v>
      </c>
      <c r="S44" s="115"/>
      <c r="T44" s="115">
        <v>270000</v>
      </c>
      <c r="U44" s="115"/>
      <c r="V44" s="115"/>
      <c r="W44" s="115">
        <v>3677</v>
      </c>
      <c r="X44" s="115">
        <v>550</v>
      </c>
      <c r="Y44" s="115" t="s">
        <v>48</v>
      </c>
      <c r="Z44" s="115"/>
      <c r="AA44" s="115"/>
      <c r="AB44" s="115">
        <v>3000</v>
      </c>
      <c r="AC44" s="115"/>
      <c r="AD44" s="115"/>
      <c r="AE44" s="115"/>
      <c r="AF44" s="291"/>
      <c r="AG44" s="246">
        <v>43839</v>
      </c>
      <c r="AH44" s="133"/>
      <c r="AI44" s="132">
        <f t="shared" si="12"/>
        <v>280616</v>
      </c>
      <c r="AJ44" s="132">
        <f t="shared" si="13"/>
        <v>277616</v>
      </c>
      <c r="AK44" s="132">
        <f t="shared" si="14"/>
        <v>3000</v>
      </c>
      <c r="AL44" s="176"/>
      <c r="AM44" s="133"/>
      <c r="AN44" s="246">
        <v>44841</v>
      </c>
      <c r="AO44" s="259"/>
    </row>
    <row r="45" s="187" customFormat="1" customHeight="1" spans="1:41">
      <c r="A45" s="115" t="s">
        <v>204</v>
      </c>
      <c r="B45" s="115" t="s">
        <v>205</v>
      </c>
      <c r="C45" s="193" t="s">
        <v>206</v>
      </c>
      <c r="D45" s="193" t="str">
        <f t="shared" si="1"/>
        <v>曹海良410481199012130521</v>
      </c>
      <c r="E45" s="155" t="s">
        <v>207</v>
      </c>
      <c r="F45" s="115"/>
      <c r="G45" s="115">
        <v>6</v>
      </c>
      <c r="H45" s="115">
        <v>1</v>
      </c>
      <c r="I45" s="115">
        <v>29</v>
      </c>
      <c r="J45" s="115">
        <v>2906</v>
      </c>
      <c r="K45" s="115">
        <v>86.33</v>
      </c>
      <c r="L45" s="115">
        <v>19460</v>
      </c>
      <c r="M45" s="115"/>
      <c r="N45" s="115"/>
      <c r="O45" s="431">
        <v>19437.04</v>
      </c>
      <c r="P45" s="115">
        <v>1678000</v>
      </c>
      <c r="Q45" s="115" t="s">
        <v>66</v>
      </c>
      <c r="R45" s="115">
        <v>508000</v>
      </c>
      <c r="S45" s="115"/>
      <c r="T45" s="115">
        <v>1170000</v>
      </c>
      <c r="U45" s="115"/>
      <c r="V45" s="115"/>
      <c r="W45" s="115">
        <v>5611</v>
      </c>
      <c r="X45" s="115">
        <v>80</v>
      </c>
      <c r="Y45" s="115"/>
      <c r="Z45" s="115"/>
      <c r="AA45" s="115"/>
      <c r="AB45" s="115"/>
      <c r="AC45" s="115"/>
      <c r="AD45" s="115"/>
      <c r="AE45" s="115" t="s">
        <v>208</v>
      </c>
      <c r="AF45" s="291" t="s">
        <v>160</v>
      </c>
      <c r="AG45" s="246">
        <v>43279</v>
      </c>
      <c r="AH45" s="133">
        <v>513691</v>
      </c>
      <c r="AI45" s="132">
        <f t="shared" si="12"/>
        <v>513691</v>
      </c>
      <c r="AJ45" s="132">
        <f t="shared" si="13"/>
        <v>513691</v>
      </c>
      <c r="AK45" s="132">
        <f t="shared" si="14"/>
        <v>0</v>
      </c>
      <c r="AL45" s="176" t="s">
        <v>209</v>
      </c>
      <c r="AM45" s="133"/>
      <c r="AN45" s="246">
        <v>44841</v>
      </c>
      <c r="AO45" s="259"/>
    </row>
    <row r="46" s="187" customFormat="1" customHeight="1" spans="1:41">
      <c r="A46" s="115" t="s">
        <v>210</v>
      </c>
      <c r="B46" s="115" t="s">
        <v>211</v>
      </c>
      <c r="C46" s="193" t="s">
        <v>212</v>
      </c>
      <c r="D46" s="193" t="str">
        <f t="shared" si="1"/>
        <v>陈杰362501197111070853</v>
      </c>
      <c r="E46" s="155">
        <v>18837153292</v>
      </c>
      <c r="F46" s="115"/>
      <c r="G46" s="115">
        <v>3</v>
      </c>
      <c r="H46" s="115"/>
      <c r="I46" s="115">
        <v>13</v>
      </c>
      <c r="J46" s="115">
        <v>1331</v>
      </c>
      <c r="K46" s="115">
        <v>56.44</v>
      </c>
      <c r="L46" s="115">
        <v>20000</v>
      </c>
      <c r="M46" s="115"/>
      <c r="N46" s="115"/>
      <c r="O46" s="431">
        <v>8473.99</v>
      </c>
      <c r="P46" s="115">
        <f t="shared" si="15"/>
        <v>478272</v>
      </c>
      <c r="Q46" s="115" t="s">
        <v>66</v>
      </c>
      <c r="R46" s="115">
        <v>248272</v>
      </c>
      <c r="S46" s="115"/>
      <c r="T46" s="115" t="s">
        <v>47</v>
      </c>
      <c r="U46" s="115"/>
      <c r="V46" s="115">
        <v>230000</v>
      </c>
      <c r="W46" s="115">
        <v>3668</v>
      </c>
      <c r="X46" s="115">
        <v>550</v>
      </c>
      <c r="Y46" s="115" t="s">
        <v>48</v>
      </c>
      <c r="Z46" s="115"/>
      <c r="AA46" s="115"/>
      <c r="AB46" s="115">
        <v>1573</v>
      </c>
      <c r="AC46" s="115"/>
      <c r="AD46" s="115"/>
      <c r="AE46" s="115"/>
      <c r="AF46" s="291"/>
      <c r="AG46" s="246">
        <v>43069</v>
      </c>
      <c r="AH46" s="133">
        <f>AJ46</f>
        <v>482490</v>
      </c>
      <c r="AI46" s="132">
        <f t="shared" si="12"/>
        <v>484063</v>
      </c>
      <c r="AJ46" s="132">
        <f t="shared" si="13"/>
        <v>482490</v>
      </c>
      <c r="AK46" s="132">
        <f t="shared" si="14"/>
        <v>1573</v>
      </c>
      <c r="AL46" s="176"/>
      <c r="AM46" s="133"/>
      <c r="AN46" s="246">
        <v>44841</v>
      </c>
      <c r="AO46" s="259"/>
    </row>
    <row r="47" s="187" customFormat="1" customHeight="1" spans="1:41">
      <c r="A47" s="115" t="s">
        <v>213</v>
      </c>
      <c r="B47" s="115" t="s">
        <v>214</v>
      </c>
      <c r="C47" s="193" t="s">
        <v>215</v>
      </c>
      <c r="D47" s="193" t="str">
        <f t="shared" si="1"/>
        <v>马二霞412722197904086529</v>
      </c>
      <c r="E47" s="155">
        <v>13137128976</v>
      </c>
      <c r="F47" s="115"/>
      <c r="G47" s="115">
        <v>2</v>
      </c>
      <c r="H47" s="115"/>
      <c r="I47" s="115">
        <v>7</v>
      </c>
      <c r="J47" s="115">
        <v>713</v>
      </c>
      <c r="K47" s="115">
        <v>49.44</v>
      </c>
      <c r="L47" s="115">
        <v>20000</v>
      </c>
      <c r="M47" s="115"/>
      <c r="N47" s="115"/>
      <c r="O47" s="431">
        <v>9395.01</v>
      </c>
      <c r="P47" s="115">
        <f t="shared" si="15"/>
        <v>464489</v>
      </c>
      <c r="Q47" s="115" t="s">
        <v>56</v>
      </c>
      <c r="R47" s="115">
        <v>464489</v>
      </c>
      <c r="S47" s="115"/>
      <c r="T47" s="115"/>
      <c r="U47" s="115">
        <v>0</v>
      </c>
      <c r="V47" s="115"/>
      <c r="W47" s="115">
        <v>3213</v>
      </c>
      <c r="X47" s="115">
        <v>550</v>
      </c>
      <c r="Y47" s="115" t="s">
        <v>48</v>
      </c>
      <c r="Z47" s="115">
        <f>P47-R47-U47-V47-T47</f>
        <v>0</v>
      </c>
      <c r="AA47" s="115"/>
      <c r="AB47" s="115"/>
      <c r="AC47" s="115"/>
      <c r="AD47" s="115"/>
      <c r="AE47" s="115"/>
      <c r="AF47" s="291"/>
      <c r="AG47" s="246">
        <v>43393</v>
      </c>
      <c r="AH47" s="133"/>
      <c r="AI47" s="132">
        <f t="shared" si="12"/>
        <v>468252</v>
      </c>
      <c r="AJ47" s="132">
        <f t="shared" si="13"/>
        <v>468252</v>
      </c>
      <c r="AK47" s="132">
        <f t="shared" si="14"/>
        <v>0</v>
      </c>
      <c r="AL47" s="176"/>
      <c r="AM47" s="133"/>
      <c r="AN47" s="246">
        <v>44841</v>
      </c>
      <c r="AO47" s="259"/>
    </row>
    <row r="48" s="187" customFormat="1" customHeight="1" spans="1:41">
      <c r="A48" s="115" t="s">
        <v>216</v>
      </c>
      <c r="B48" s="115" t="s">
        <v>217</v>
      </c>
      <c r="C48" s="193" t="s">
        <v>218</v>
      </c>
      <c r="D48" s="193" t="str">
        <f t="shared" si="1"/>
        <v>周敏413024198208282622</v>
      </c>
      <c r="E48" s="155">
        <v>15903616631</v>
      </c>
      <c r="F48" s="115"/>
      <c r="G48" s="115">
        <v>3</v>
      </c>
      <c r="H48" s="115"/>
      <c r="I48" s="115">
        <v>15</v>
      </c>
      <c r="J48" s="115">
        <v>1501</v>
      </c>
      <c r="K48" s="115">
        <v>68.05</v>
      </c>
      <c r="L48" s="115">
        <v>20000</v>
      </c>
      <c r="M48" s="115"/>
      <c r="N48" s="115"/>
      <c r="O48" s="431">
        <v>11116.41</v>
      </c>
      <c r="P48" s="115">
        <f t="shared" si="15"/>
        <v>756472</v>
      </c>
      <c r="Q48" s="115" t="s">
        <v>66</v>
      </c>
      <c r="R48" s="115">
        <v>386472</v>
      </c>
      <c r="S48" s="115"/>
      <c r="T48" s="115" t="s">
        <v>47</v>
      </c>
      <c r="U48" s="115"/>
      <c r="V48" s="115">
        <v>370000</v>
      </c>
      <c r="W48" s="115">
        <v>4423</v>
      </c>
      <c r="X48" s="115">
        <v>550</v>
      </c>
      <c r="Y48" s="115" t="s">
        <v>48</v>
      </c>
      <c r="Z48" s="115"/>
      <c r="AA48" s="115"/>
      <c r="AB48" s="115">
        <v>3000</v>
      </c>
      <c r="AC48" s="115"/>
      <c r="AD48" s="115"/>
      <c r="AE48" s="115"/>
      <c r="AF48" s="291"/>
      <c r="AG48" s="246">
        <v>43070</v>
      </c>
      <c r="AH48" s="133"/>
      <c r="AI48" s="132">
        <f t="shared" si="12"/>
        <v>764445</v>
      </c>
      <c r="AJ48" s="132">
        <f t="shared" si="13"/>
        <v>761445</v>
      </c>
      <c r="AK48" s="132">
        <f t="shared" si="14"/>
        <v>3000</v>
      </c>
      <c r="AL48" s="176"/>
      <c r="AM48" s="133"/>
      <c r="AN48" s="246">
        <v>44841</v>
      </c>
      <c r="AO48" s="259"/>
    </row>
    <row r="49" s="187" customFormat="1" customHeight="1" spans="1:41">
      <c r="A49" s="115" t="s">
        <v>219</v>
      </c>
      <c r="B49" s="115" t="s">
        <v>220</v>
      </c>
      <c r="C49" s="193"/>
      <c r="D49" s="193" t="str">
        <f t="shared" si="1"/>
        <v>段雪敏</v>
      </c>
      <c r="E49" s="155" t="s">
        <v>221</v>
      </c>
      <c r="F49" s="115"/>
      <c r="G49" s="115">
        <v>9</v>
      </c>
      <c r="H49" s="115">
        <v>3</v>
      </c>
      <c r="I49" s="115">
        <v>14</v>
      </c>
      <c r="J49" s="115">
        <v>1401</v>
      </c>
      <c r="K49" s="115">
        <v>93.4</v>
      </c>
      <c r="L49" s="115">
        <v>9100</v>
      </c>
      <c r="M49" s="115"/>
      <c r="N49" s="115"/>
      <c r="O49" s="431">
        <v>9000</v>
      </c>
      <c r="P49" s="115">
        <v>840600</v>
      </c>
      <c r="Q49" s="115" t="s">
        <v>66</v>
      </c>
      <c r="R49" s="115">
        <v>256900</v>
      </c>
      <c r="S49" s="115"/>
      <c r="T49" s="115">
        <v>583700</v>
      </c>
      <c r="U49" s="115"/>
      <c r="V49" s="115"/>
      <c r="W49" s="115"/>
      <c r="X49" s="115"/>
      <c r="Y49" s="115"/>
      <c r="Z49" s="115"/>
      <c r="AA49" s="115"/>
      <c r="AB49" s="115"/>
      <c r="AC49" s="115"/>
      <c r="AD49" s="115"/>
      <c r="AE49" s="115"/>
      <c r="AF49" s="291"/>
      <c r="AG49" s="246">
        <v>42158</v>
      </c>
      <c r="AH49" s="133">
        <f>AJ49</f>
        <v>256900</v>
      </c>
      <c r="AI49" s="132">
        <f t="shared" si="12"/>
        <v>256900</v>
      </c>
      <c r="AJ49" s="132">
        <f t="shared" si="13"/>
        <v>256900</v>
      </c>
      <c r="AK49" s="132">
        <f t="shared" si="14"/>
        <v>0</v>
      </c>
      <c r="AL49" s="176"/>
      <c r="AM49" s="133"/>
      <c r="AN49" s="246">
        <v>44841</v>
      </c>
      <c r="AO49" s="259"/>
    </row>
    <row r="50" s="187" customFormat="1" customHeight="1" spans="1:41">
      <c r="A50" s="115" t="s">
        <v>222</v>
      </c>
      <c r="B50" s="115" t="s">
        <v>223</v>
      </c>
      <c r="C50" s="193"/>
      <c r="D50" s="193" t="str">
        <f t="shared" si="1"/>
        <v>侯尚君</v>
      </c>
      <c r="E50" s="155" t="s">
        <v>224</v>
      </c>
      <c r="F50" s="115"/>
      <c r="G50" s="115">
        <v>3</v>
      </c>
      <c r="H50" s="115"/>
      <c r="I50" s="115">
        <v>21</v>
      </c>
      <c r="J50" s="115">
        <v>2135</v>
      </c>
      <c r="K50" s="115">
        <v>55.18</v>
      </c>
      <c r="L50" s="115">
        <v>20000</v>
      </c>
      <c r="M50" s="115"/>
      <c r="N50" s="115"/>
      <c r="O50" s="431">
        <v>10500</v>
      </c>
      <c r="P50" s="115">
        <v>579390</v>
      </c>
      <c r="Q50" s="115" t="s">
        <v>56</v>
      </c>
      <c r="R50" s="115">
        <v>580020</v>
      </c>
      <c r="S50" s="115">
        <v>-630</v>
      </c>
      <c r="T50" s="115"/>
      <c r="U50" s="115"/>
      <c r="V50" s="115"/>
      <c r="W50" s="115"/>
      <c r="X50" s="115"/>
      <c r="Y50" s="115"/>
      <c r="Z50" s="115"/>
      <c r="AA50" s="115"/>
      <c r="AB50" s="115"/>
      <c r="AC50" s="115"/>
      <c r="AD50" s="115"/>
      <c r="AE50" s="115" t="s">
        <v>123</v>
      </c>
      <c r="AF50" s="291" t="s">
        <v>160</v>
      </c>
      <c r="AG50" s="246">
        <v>42866</v>
      </c>
      <c r="AH50" s="133">
        <f>AJ50</f>
        <v>580020</v>
      </c>
      <c r="AI50" s="132">
        <f t="shared" si="12"/>
        <v>580020</v>
      </c>
      <c r="AJ50" s="132">
        <f t="shared" si="13"/>
        <v>580020</v>
      </c>
      <c r="AK50" s="132">
        <f t="shared" si="14"/>
        <v>0</v>
      </c>
      <c r="AL50" s="176"/>
      <c r="AM50" s="133"/>
      <c r="AN50" s="246">
        <v>44841</v>
      </c>
      <c r="AO50" s="259"/>
    </row>
    <row r="51" s="187" customFormat="1" customHeight="1" spans="1:41">
      <c r="A51" s="115" t="s">
        <v>225</v>
      </c>
      <c r="B51" s="115" t="s">
        <v>226</v>
      </c>
      <c r="C51" s="193" t="s">
        <v>227</v>
      </c>
      <c r="D51" s="193" t="str">
        <f t="shared" si="1"/>
        <v>冯大伟、赵敏410823198604140057、410823198909200022</v>
      </c>
      <c r="E51" s="155" t="s">
        <v>228</v>
      </c>
      <c r="F51" s="115"/>
      <c r="G51" s="115">
        <v>2</v>
      </c>
      <c r="H51" s="115"/>
      <c r="I51" s="115">
        <v>24</v>
      </c>
      <c r="J51" s="115">
        <v>2405</v>
      </c>
      <c r="K51" s="115">
        <v>47.97</v>
      </c>
      <c r="L51" s="115">
        <v>30000</v>
      </c>
      <c r="M51" s="115"/>
      <c r="N51" s="115"/>
      <c r="O51" s="431">
        <v>14732.83</v>
      </c>
      <c r="P51" s="115">
        <v>706734</v>
      </c>
      <c r="Q51" s="115" t="s">
        <v>66</v>
      </c>
      <c r="R51" s="115">
        <v>356734</v>
      </c>
      <c r="S51" s="115"/>
      <c r="T51" s="115"/>
      <c r="U51" s="115">
        <v>350000</v>
      </c>
      <c r="V51" s="115"/>
      <c r="W51" s="115">
        <v>3118</v>
      </c>
      <c r="X51" s="115">
        <v>560</v>
      </c>
      <c r="Y51" s="115" t="s">
        <v>48</v>
      </c>
      <c r="Z51" s="115"/>
      <c r="AA51" s="115"/>
      <c r="AB51" s="115">
        <v>1255</v>
      </c>
      <c r="AC51" s="115"/>
      <c r="AD51" s="115"/>
      <c r="AE51" s="115" t="s">
        <v>123</v>
      </c>
      <c r="AF51" s="291"/>
      <c r="AG51" s="246">
        <v>43806</v>
      </c>
      <c r="AH51" s="133"/>
      <c r="AI51" s="132">
        <f t="shared" ref="AI51:AI56" si="16">R51+V51+W51+X51+AA51+AB51+AC51+AD51</f>
        <v>361667</v>
      </c>
      <c r="AJ51" s="132">
        <f t="shared" ref="AJ51:AJ56" si="17">R51+W51+V51+X51+AA51</f>
        <v>360412</v>
      </c>
      <c r="AK51" s="132">
        <f t="shared" ref="AK51:AK56" si="18">AI51-AJ51</f>
        <v>1255</v>
      </c>
      <c r="AL51" s="176"/>
      <c r="AM51" s="133"/>
      <c r="AN51" s="246">
        <v>44841</v>
      </c>
      <c r="AO51" s="259"/>
    </row>
    <row r="52" s="187" customFormat="1" customHeight="1" spans="1:41">
      <c r="A52" s="115" t="s">
        <v>229</v>
      </c>
      <c r="B52" s="115" t="s">
        <v>230</v>
      </c>
      <c r="C52" s="193" t="s">
        <v>231</v>
      </c>
      <c r="D52" s="193" t="str">
        <f t="shared" si="1"/>
        <v>张璐410105198505230259</v>
      </c>
      <c r="E52" s="155">
        <v>18137708561</v>
      </c>
      <c r="F52" s="115"/>
      <c r="G52" s="115">
        <v>9</v>
      </c>
      <c r="H52" s="115">
        <v>3</v>
      </c>
      <c r="I52" s="115">
        <v>26</v>
      </c>
      <c r="J52" s="115">
        <v>2604</v>
      </c>
      <c r="K52" s="115">
        <v>94.65</v>
      </c>
      <c r="L52" s="115">
        <v>8798</v>
      </c>
      <c r="M52" s="115"/>
      <c r="N52" s="115"/>
      <c r="O52" s="431">
        <v>8697.6</v>
      </c>
      <c r="P52" s="115">
        <v>823228</v>
      </c>
      <c r="Q52" s="115" t="s">
        <v>66</v>
      </c>
      <c r="R52" s="115">
        <v>663228</v>
      </c>
      <c r="S52" s="115"/>
      <c r="T52" s="115" t="s">
        <v>47</v>
      </c>
      <c r="U52" s="115"/>
      <c r="V52" s="115">
        <v>160000</v>
      </c>
      <c r="W52" s="115">
        <v>6152</v>
      </c>
      <c r="X52" s="115">
        <v>80</v>
      </c>
      <c r="Y52" s="115"/>
      <c r="Z52" s="115" t="s">
        <v>48</v>
      </c>
      <c r="AA52" s="115"/>
      <c r="AB52" s="115">
        <v>1107</v>
      </c>
      <c r="AC52" s="115"/>
      <c r="AD52" s="115"/>
      <c r="AE52" s="115"/>
      <c r="AF52" s="291"/>
      <c r="AG52" s="246">
        <v>43093</v>
      </c>
      <c r="AH52" s="133">
        <f>W52+X52</f>
        <v>6232</v>
      </c>
      <c r="AI52" s="132">
        <f t="shared" si="16"/>
        <v>830567</v>
      </c>
      <c r="AJ52" s="132">
        <f t="shared" si="17"/>
        <v>829460</v>
      </c>
      <c r="AK52" s="132">
        <f t="shared" si="18"/>
        <v>1107</v>
      </c>
      <c r="AL52" s="176" t="s">
        <v>232</v>
      </c>
      <c r="AM52" s="133"/>
      <c r="AN52" s="246">
        <v>44841</v>
      </c>
      <c r="AO52" s="259"/>
    </row>
    <row r="53" s="187" customFormat="1" customHeight="1" spans="1:41">
      <c r="A53" s="115" t="s">
        <v>233</v>
      </c>
      <c r="B53" s="115" t="s">
        <v>234</v>
      </c>
      <c r="C53" s="546" t="s">
        <v>235</v>
      </c>
      <c r="D53" s="193" t="str">
        <f t="shared" si="1"/>
        <v>张利群413026197912067860</v>
      </c>
      <c r="E53" s="155" t="s">
        <v>236</v>
      </c>
      <c r="F53" s="115"/>
      <c r="G53" s="115">
        <v>3</v>
      </c>
      <c r="H53" s="115"/>
      <c r="I53" s="115">
        <v>22</v>
      </c>
      <c r="J53" s="115">
        <v>2235</v>
      </c>
      <c r="K53" s="115">
        <v>55.18</v>
      </c>
      <c r="L53" s="115">
        <v>30000</v>
      </c>
      <c r="M53" s="115"/>
      <c r="N53" s="115"/>
      <c r="O53" s="431">
        <v>14769.84</v>
      </c>
      <c r="P53" s="115">
        <v>815000</v>
      </c>
      <c r="Q53" s="115" t="s">
        <v>66</v>
      </c>
      <c r="R53" s="115">
        <v>415000</v>
      </c>
      <c r="S53" s="115"/>
      <c r="T53" s="115">
        <v>400000</v>
      </c>
      <c r="U53" s="115"/>
      <c r="V53" s="115"/>
      <c r="W53" s="115">
        <v>3586</v>
      </c>
      <c r="X53" s="115">
        <v>550</v>
      </c>
      <c r="Y53" s="115" t="s">
        <v>48</v>
      </c>
      <c r="Z53" s="115"/>
      <c r="AA53" s="115"/>
      <c r="AB53" s="115">
        <v>1260</v>
      </c>
      <c r="AC53" s="115"/>
      <c r="AD53" s="115"/>
      <c r="AE53" s="115" t="s">
        <v>237</v>
      </c>
      <c r="AF53" s="291" t="s">
        <v>160</v>
      </c>
      <c r="AG53" s="246">
        <v>43280</v>
      </c>
      <c r="AH53" s="133">
        <v>299136</v>
      </c>
      <c r="AI53" s="132">
        <f t="shared" si="16"/>
        <v>420396</v>
      </c>
      <c r="AJ53" s="132">
        <f t="shared" si="17"/>
        <v>419136</v>
      </c>
      <c r="AK53" s="132">
        <f t="shared" si="18"/>
        <v>1260</v>
      </c>
      <c r="AL53" s="176"/>
      <c r="AM53" s="133"/>
      <c r="AN53" s="246">
        <v>44841</v>
      </c>
      <c r="AO53" s="259"/>
    </row>
    <row r="54" s="187" customFormat="1" customHeight="1" spans="1:41">
      <c r="A54" s="115" t="s">
        <v>238</v>
      </c>
      <c r="B54" s="115" t="s">
        <v>239</v>
      </c>
      <c r="C54" s="193" t="s">
        <v>240</v>
      </c>
      <c r="D54" s="193" t="str">
        <f t="shared" si="1"/>
        <v>刘磊410102197609112026</v>
      </c>
      <c r="E54" s="155">
        <v>13653979882</v>
      </c>
      <c r="F54" s="115"/>
      <c r="G54" s="115">
        <v>10</v>
      </c>
      <c r="H54" s="115">
        <v>2</v>
      </c>
      <c r="I54" s="115">
        <v>24</v>
      </c>
      <c r="J54" s="115">
        <v>2405</v>
      </c>
      <c r="K54" s="115">
        <v>93.84</v>
      </c>
      <c r="L54" s="115">
        <v>12700</v>
      </c>
      <c r="M54" s="115"/>
      <c r="N54" s="115"/>
      <c r="O54" s="431">
        <v>12600</v>
      </c>
      <c r="P54" s="115">
        <v>1182384</v>
      </c>
      <c r="Q54" s="115" t="s">
        <v>56</v>
      </c>
      <c r="R54" s="115">
        <v>1237441</v>
      </c>
      <c r="S54" s="115">
        <v>-55057</v>
      </c>
      <c r="T54" s="115" t="s">
        <v>47</v>
      </c>
      <c r="U54" s="115"/>
      <c r="V54" s="115"/>
      <c r="W54" s="115">
        <v>6099</v>
      </c>
      <c r="X54" s="115">
        <v>80</v>
      </c>
      <c r="Y54" s="115" t="s">
        <v>48</v>
      </c>
      <c r="Z54" s="115"/>
      <c r="AA54" s="115"/>
      <c r="AB54" s="115"/>
      <c r="AC54" s="115"/>
      <c r="AD54" s="115"/>
      <c r="AE54" s="115"/>
      <c r="AF54" s="291"/>
      <c r="AG54" s="246">
        <v>42723</v>
      </c>
      <c r="AH54" s="133"/>
      <c r="AI54" s="132">
        <f t="shared" si="16"/>
        <v>1243620</v>
      </c>
      <c r="AJ54" s="132">
        <f t="shared" si="17"/>
        <v>1243620</v>
      </c>
      <c r="AK54" s="132">
        <f t="shared" si="18"/>
        <v>0</v>
      </c>
      <c r="AL54" s="176"/>
      <c r="AM54" s="133"/>
      <c r="AN54" s="246">
        <v>44841</v>
      </c>
      <c r="AO54" s="259"/>
    </row>
    <row r="55" s="187" customFormat="1" customHeight="1" spans="1:41">
      <c r="A55" s="115" t="s">
        <v>241</v>
      </c>
      <c r="B55" s="115" t="s">
        <v>242</v>
      </c>
      <c r="C55" s="193" t="s">
        <v>243</v>
      </c>
      <c r="D55" s="193" t="str">
        <f t="shared" si="1"/>
        <v>李军辉410105197401171640</v>
      </c>
      <c r="E55" s="155" t="s">
        <v>244</v>
      </c>
      <c r="F55" s="115"/>
      <c r="G55" s="115">
        <v>3</v>
      </c>
      <c r="H55" s="115"/>
      <c r="I55" s="115">
        <v>8</v>
      </c>
      <c r="J55" s="115">
        <v>801</v>
      </c>
      <c r="K55" s="115">
        <v>68.05</v>
      </c>
      <c r="L55" s="115">
        <v>20000</v>
      </c>
      <c r="M55" s="115"/>
      <c r="N55" s="115"/>
      <c r="O55" s="431">
        <v>8855.59194366197</v>
      </c>
      <c r="P55" s="115">
        <v>602623</v>
      </c>
      <c r="Q55" s="115" t="s">
        <v>66</v>
      </c>
      <c r="R55" s="115">
        <v>303597</v>
      </c>
      <c r="S55" s="115"/>
      <c r="T55" s="115">
        <v>299026</v>
      </c>
      <c r="U55" s="115"/>
      <c r="V55" s="115"/>
      <c r="W55" s="115"/>
      <c r="X55" s="115"/>
      <c r="Y55" s="115"/>
      <c r="Z55" s="115"/>
      <c r="AA55" s="115"/>
      <c r="AB55" s="115"/>
      <c r="AC55" s="115"/>
      <c r="AD55" s="115"/>
      <c r="AE55" s="115"/>
      <c r="AF55" s="291"/>
      <c r="AG55" s="246">
        <v>42747</v>
      </c>
      <c r="AH55" s="133"/>
      <c r="AI55" s="132">
        <f t="shared" si="16"/>
        <v>303597</v>
      </c>
      <c r="AJ55" s="132">
        <f t="shared" si="17"/>
        <v>303597</v>
      </c>
      <c r="AK55" s="132">
        <f t="shared" si="18"/>
        <v>0</v>
      </c>
      <c r="AL55" s="176"/>
      <c r="AM55" s="133"/>
      <c r="AN55" s="246">
        <v>44841</v>
      </c>
      <c r="AO55" s="259"/>
    </row>
    <row r="56" s="187" customFormat="1" customHeight="1" spans="1:41">
      <c r="A56" s="115" t="s">
        <v>245</v>
      </c>
      <c r="B56" s="115" t="s">
        <v>246</v>
      </c>
      <c r="C56" s="193" t="s">
        <v>247</v>
      </c>
      <c r="D56" s="193" t="str">
        <f t="shared" si="1"/>
        <v>梁明磊411422199002253991</v>
      </c>
      <c r="E56" s="155">
        <v>18838907100</v>
      </c>
      <c r="F56" s="115" t="s">
        <v>248</v>
      </c>
      <c r="G56" s="115">
        <v>11</v>
      </c>
      <c r="H56" s="115">
        <v>3</v>
      </c>
      <c r="I56" s="115">
        <v>28</v>
      </c>
      <c r="J56" s="115">
        <v>2803</v>
      </c>
      <c r="K56" s="115">
        <v>151.44</v>
      </c>
      <c r="L56" s="115">
        <v>8900</v>
      </c>
      <c r="M56" s="115"/>
      <c r="N56" s="115"/>
      <c r="O56" s="431">
        <v>8800</v>
      </c>
      <c r="P56" s="115">
        <v>1332672</v>
      </c>
      <c r="Q56" s="115" t="s">
        <v>56</v>
      </c>
      <c r="R56" s="115">
        <v>1337269</v>
      </c>
      <c r="S56" s="115">
        <v>-4597</v>
      </c>
      <c r="T56" s="115" t="s">
        <v>47</v>
      </c>
      <c r="U56" s="115"/>
      <c r="V56" s="115"/>
      <c r="W56" s="115">
        <v>9843</v>
      </c>
      <c r="X56" s="115">
        <v>80</v>
      </c>
      <c r="Y56" s="115" t="s">
        <v>48</v>
      </c>
      <c r="Z56" s="115"/>
      <c r="AA56" s="115"/>
      <c r="AB56" s="115"/>
      <c r="AC56" s="115"/>
      <c r="AD56" s="115"/>
      <c r="AE56" s="115"/>
      <c r="AF56" s="291"/>
      <c r="AG56" s="246">
        <v>44020</v>
      </c>
      <c r="AH56" s="133">
        <v>1347192</v>
      </c>
      <c r="AI56" s="132">
        <f t="shared" si="16"/>
        <v>1347192</v>
      </c>
      <c r="AJ56" s="132">
        <f t="shared" si="17"/>
        <v>1347192</v>
      </c>
      <c r="AK56" s="132">
        <f t="shared" si="18"/>
        <v>0</v>
      </c>
      <c r="AL56" s="176" t="s">
        <v>249</v>
      </c>
      <c r="AM56" s="133"/>
      <c r="AN56" s="246">
        <v>44841</v>
      </c>
      <c r="AO56" s="259"/>
    </row>
    <row r="57" s="187" customFormat="1" customHeight="1" spans="1:41">
      <c r="A57" s="115" t="s">
        <v>250</v>
      </c>
      <c r="B57" s="115" t="s">
        <v>251</v>
      </c>
      <c r="C57" s="193" t="s">
        <v>252</v>
      </c>
      <c r="D57" s="193" t="str">
        <f t="shared" si="1"/>
        <v>张丹丹410104198006120024</v>
      </c>
      <c r="E57" s="155">
        <v>13613858223</v>
      </c>
      <c r="F57" s="115"/>
      <c r="G57" s="115">
        <v>3</v>
      </c>
      <c r="H57" s="115">
        <v>3</v>
      </c>
      <c r="I57" s="115">
        <v>14</v>
      </c>
      <c r="J57" s="115">
        <v>1418</v>
      </c>
      <c r="K57" s="115">
        <v>69.11</v>
      </c>
      <c r="L57" s="115">
        <v>20000</v>
      </c>
      <c r="M57" s="115"/>
      <c r="N57" s="115"/>
      <c r="O57" s="431">
        <v>8968.66</v>
      </c>
      <c r="P57" s="115">
        <v>619824</v>
      </c>
      <c r="Q57" s="115" t="s">
        <v>66</v>
      </c>
      <c r="R57" s="115">
        <v>310824</v>
      </c>
      <c r="S57" s="115"/>
      <c r="T57" s="115" t="s">
        <v>47</v>
      </c>
      <c r="U57" s="115"/>
      <c r="V57" s="115">
        <v>309000</v>
      </c>
      <c r="W57" s="115">
        <v>4492</v>
      </c>
      <c r="X57" s="115">
        <v>550</v>
      </c>
      <c r="Y57" s="115" t="s">
        <v>48</v>
      </c>
      <c r="Z57" s="115"/>
      <c r="AA57" s="115"/>
      <c r="AB57" s="115">
        <v>1581</v>
      </c>
      <c r="AC57" s="115"/>
      <c r="AD57" s="115"/>
      <c r="AE57" s="115"/>
      <c r="AF57" s="291"/>
      <c r="AG57" s="246">
        <v>43068</v>
      </c>
      <c r="AH57" s="133">
        <f>W57+X57+R57</f>
        <v>315866</v>
      </c>
      <c r="AI57" s="132">
        <f t="shared" ref="AI57:AI65" si="19">R57+V57+W57+X57+AA57+AB57+AC57+AD57</f>
        <v>626447</v>
      </c>
      <c r="AJ57" s="132">
        <f t="shared" ref="AJ57:AJ65" si="20">R57+W57+V57+X57+AA57</f>
        <v>624866</v>
      </c>
      <c r="AK57" s="132">
        <f t="shared" ref="AK57:AK65" si="21">AI57-AJ57</f>
        <v>1581</v>
      </c>
      <c r="AL57" s="176"/>
      <c r="AM57" s="133"/>
      <c r="AN57" s="246">
        <v>44841</v>
      </c>
      <c r="AO57" s="259"/>
    </row>
    <row r="58" s="187" customFormat="1" customHeight="1" spans="1:41">
      <c r="A58" s="115" t="s">
        <v>253</v>
      </c>
      <c r="B58" s="115" t="s">
        <v>254</v>
      </c>
      <c r="C58" s="193" t="s">
        <v>255</v>
      </c>
      <c r="D58" s="193" t="str">
        <f t="shared" si="1"/>
        <v>韦彩梨410329198009153022</v>
      </c>
      <c r="E58" s="155">
        <v>13783715007</v>
      </c>
      <c r="F58" s="115"/>
      <c r="G58" s="115">
        <v>6</v>
      </c>
      <c r="H58" s="115">
        <v>1</v>
      </c>
      <c r="I58" s="115">
        <v>21</v>
      </c>
      <c r="J58" s="115">
        <v>2105</v>
      </c>
      <c r="K58" s="115">
        <v>93.07</v>
      </c>
      <c r="L58" s="115">
        <v>17900</v>
      </c>
      <c r="M58" s="115"/>
      <c r="N58" s="115"/>
      <c r="O58" s="431">
        <v>15000</v>
      </c>
      <c r="P58" s="115">
        <v>1396050</v>
      </c>
      <c r="Q58" s="115" t="s">
        <v>66</v>
      </c>
      <c r="R58" s="115">
        <v>714750</v>
      </c>
      <c r="S58" s="115"/>
      <c r="T58" s="115">
        <v>681300</v>
      </c>
      <c r="U58" s="115"/>
      <c r="V58" s="115"/>
      <c r="W58" s="115"/>
      <c r="X58" s="115"/>
      <c r="Y58" s="115"/>
      <c r="Z58" s="115"/>
      <c r="AA58" s="115"/>
      <c r="AB58" s="115"/>
      <c r="AC58" s="115"/>
      <c r="AD58" s="115"/>
      <c r="AE58" s="115" t="s">
        <v>237</v>
      </c>
      <c r="AF58" s="291" t="s">
        <v>165</v>
      </c>
      <c r="AG58" s="246">
        <v>42853</v>
      </c>
      <c r="AH58" s="133">
        <v>714750</v>
      </c>
      <c r="AI58" s="132">
        <f t="shared" si="19"/>
        <v>714750</v>
      </c>
      <c r="AJ58" s="132">
        <f t="shared" si="20"/>
        <v>714750</v>
      </c>
      <c r="AK58" s="132">
        <f t="shared" si="21"/>
        <v>0</v>
      </c>
      <c r="AL58" s="176"/>
      <c r="AM58" s="133"/>
      <c r="AN58" s="246">
        <v>44841</v>
      </c>
      <c r="AO58" s="259"/>
    </row>
    <row r="59" s="187" customFormat="1" customHeight="1" spans="1:41">
      <c r="A59" s="115" t="s">
        <v>256</v>
      </c>
      <c r="B59" s="115" t="s">
        <v>257</v>
      </c>
      <c r="C59" s="193" t="s">
        <v>258</v>
      </c>
      <c r="D59" s="193" t="str">
        <f t="shared" si="1"/>
        <v>赵娟130531198503172021</v>
      </c>
      <c r="E59" s="155" t="s">
        <v>259</v>
      </c>
      <c r="F59" s="115"/>
      <c r="G59" s="115">
        <v>9</v>
      </c>
      <c r="H59" s="115">
        <v>3</v>
      </c>
      <c r="I59" s="115">
        <v>15</v>
      </c>
      <c r="J59" s="115">
        <v>1503</v>
      </c>
      <c r="K59" s="115">
        <v>99.56</v>
      </c>
      <c r="L59" s="115">
        <v>8386</v>
      </c>
      <c r="M59" s="115"/>
      <c r="N59" s="115"/>
      <c r="O59" s="431">
        <v>8285.6</v>
      </c>
      <c r="P59" s="115">
        <v>824914</v>
      </c>
      <c r="Q59" s="115" t="s">
        <v>66</v>
      </c>
      <c r="R59" s="115">
        <v>260874</v>
      </c>
      <c r="S59" s="115"/>
      <c r="T59" s="115">
        <v>564040.48931665</v>
      </c>
      <c r="U59" s="115"/>
      <c r="V59" s="115"/>
      <c r="W59" s="115"/>
      <c r="X59" s="115"/>
      <c r="Y59" s="115"/>
      <c r="Z59" s="115"/>
      <c r="AA59" s="115"/>
      <c r="AB59" s="115"/>
      <c r="AC59" s="115"/>
      <c r="AD59" s="115"/>
      <c r="AE59" s="115"/>
      <c r="AF59" s="291"/>
      <c r="AG59" s="246">
        <v>42163</v>
      </c>
      <c r="AH59" s="133">
        <v>260874</v>
      </c>
      <c r="AI59" s="132">
        <f t="shared" si="19"/>
        <v>260874</v>
      </c>
      <c r="AJ59" s="132">
        <f t="shared" si="20"/>
        <v>260874</v>
      </c>
      <c r="AK59" s="132">
        <f t="shared" si="21"/>
        <v>0</v>
      </c>
      <c r="AL59" s="176"/>
      <c r="AM59" s="133"/>
      <c r="AN59" s="246">
        <v>44841</v>
      </c>
      <c r="AO59" s="259"/>
    </row>
    <row r="60" s="187" customFormat="1" customHeight="1" spans="1:41">
      <c r="A60" s="115" t="s">
        <v>260</v>
      </c>
      <c r="B60" s="115" t="s">
        <v>261</v>
      </c>
      <c r="C60" s="193" t="s">
        <v>262</v>
      </c>
      <c r="D60" s="193" t="str">
        <f t="shared" si="1"/>
        <v>张洪丽410622197212220507</v>
      </c>
      <c r="E60" s="155">
        <v>18503827366</v>
      </c>
      <c r="F60" s="115"/>
      <c r="G60" s="115">
        <v>3</v>
      </c>
      <c r="H60" s="115"/>
      <c r="I60" s="115">
        <v>11</v>
      </c>
      <c r="J60" s="115">
        <v>1133</v>
      </c>
      <c r="K60" s="115">
        <v>55.05</v>
      </c>
      <c r="L60" s="115">
        <v>20000</v>
      </c>
      <c r="M60" s="115"/>
      <c r="N60" s="115"/>
      <c r="O60" s="431">
        <v>10062.52</v>
      </c>
      <c r="P60" s="115">
        <v>553942</v>
      </c>
      <c r="Q60" s="115" t="s">
        <v>66</v>
      </c>
      <c r="R60" s="115">
        <v>283942</v>
      </c>
      <c r="S60" s="115"/>
      <c r="T60" s="115">
        <v>270000</v>
      </c>
      <c r="U60" s="115"/>
      <c r="V60" s="115"/>
      <c r="W60" s="115">
        <v>3578</v>
      </c>
      <c r="X60" s="115">
        <v>550</v>
      </c>
      <c r="Y60" s="115"/>
      <c r="Z60" s="115"/>
      <c r="AA60" s="115"/>
      <c r="AB60" s="115">
        <v>1248</v>
      </c>
      <c r="AC60" s="115"/>
      <c r="AD60" s="115"/>
      <c r="AE60" s="115"/>
      <c r="AF60" s="291"/>
      <c r="AG60" s="246">
        <v>43092</v>
      </c>
      <c r="AH60" s="133">
        <f>AJ60</f>
        <v>288070</v>
      </c>
      <c r="AI60" s="132">
        <f t="shared" si="19"/>
        <v>289318</v>
      </c>
      <c r="AJ60" s="132">
        <f t="shared" si="20"/>
        <v>288070</v>
      </c>
      <c r="AK60" s="132">
        <f t="shared" si="21"/>
        <v>1248</v>
      </c>
      <c r="AL60" s="176"/>
      <c r="AM60" s="133"/>
      <c r="AN60" s="246">
        <v>44841</v>
      </c>
      <c r="AO60" s="259"/>
    </row>
    <row r="61" s="187" customFormat="1" customHeight="1" spans="1:41">
      <c r="A61" s="115" t="s">
        <v>263</v>
      </c>
      <c r="B61" s="115" t="s">
        <v>261</v>
      </c>
      <c r="C61" s="193" t="s">
        <v>262</v>
      </c>
      <c r="D61" s="193" t="str">
        <f t="shared" si="1"/>
        <v>张洪丽410622197212220507</v>
      </c>
      <c r="E61" s="155">
        <v>18503827366</v>
      </c>
      <c r="F61" s="115"/>
      <c r="G61" s="115">
        <v>3</v>
      </c>
      <c r="H61" s="115"/>
      <c r="I61" s="115">
        <v>11</v>
      </c>
      <c r="J61" s="115">
        <v>1132</v>
      </c>
      <c r="K61" s="115">
        <v>55.78</v>
      </c>
      <c r="L61" s="115">
        <v>20000</v>
      </c>
      <c r="M61" s="115"/>
      <c r="N61" s="115"/>
      <c r="O61" s="431">
        <v>10013.03</v>
      </c>
      <c r="P61" s="115">
        <v>558527</v>
      </c>
      <c r="Q61" s="115" t="s">
        <v>66</v>
      </c>
      <c r="R61" s="115">
        <v>288527</v>
      </c>
      <c r="S61" s="115"/>
      <c r="T61" s="115">
        <v>270000</v>
      </c>
      <c r="U61" s="115"/>
      <c r="V61" s="115"/>
      <c r="W61" s="115">
        <v>3625</v>
      </c>
      <c r="X61" s="115">
        <v>550</v>
      </c>
      <c r="Y61" s="115"/>
      <c r="Z61" s="115"/>
      <c r="AA61" s="115"/>
      <c r="AB61" s="115">
        <v>1248</v>
      </c>
      <c r="AC61" s="115"/>
      <c r="AD61" s="115"/>
      <c r="AE61" s="115"/>
      <c r="AF61" s="291"/>
      <c r="AG61" s="246">
        <v>43092</v>
      </c>
      <c r="AH61" s="133">
        <f>AJ61</f>
        <v>292702</v>
      </c>
      <c r="AI61" s="132">
        <f t="shared" si="19"/>
        <v>293950</v>
      </c>
      <c r="AJ61" s="132">
        <f t="shared" si="20"/>
        <v>292702</v>
      </c>
      <c r="AK61" s="132">
        <f t="shared" si="21"/>
        <v>1248</v>
      </c>
      <c r="AL61" s="176"/>
      <c r="AM61" s="133"/>
      <c r="AN61" s="246">
        <v>44841</v>
      </c>
      <c r="AO61" s="259"/>
    </row>
    <row r="62" s="187" customFormat="1" customHeight="1" spans="1:41">
      <c r="A62" s="115" t="s">
        <v>264</v>
      </c>
      <c r="B62" s="115" t="s">
        <v>265</v>
      </c>
      <c r="C62" s="193" t="s">
        <v>266</v>
      </c>
      <c r="D62" s="193" t="str">
        <f t="shared" si="1"/>
        <v>李晶磊、胡晓燕412722198008050143/412722197903170032</v>
      </c>
      <c r="E62" s="155">
        <v>15138278333</v>
      </c>
      <c r="F62" s="115"/>
      <c r="G62" s="115">
        <v>3</v>
      </c>
      <c r="H62" s="115"/>
      <c r="I62" s="115">
        <v>13</v>
      </c>
      <c r="J62" s="115">
        <v>1328</v>
      </c>
      <c r="K62" s="115">
        <v>64.13</v>
      </c>
      <c r="L62" s="115">
        <v>20000</v>
      </c>
      <c r="M62" s="115"/>
      <c r="N62" s="115"/>
      <c r="O62" s="431">
        <v>9477.03</v>
      </c>
      <c r="P62" s="115">
        <v>607762</v>
      </c>
      <c r="Q62" s="115" t="s">
        <v>66</v>
      </c>
      <c r="R62" s="115">
        <v>307762</v>
      </c>
      <c r="S62" s="115" t="s">
        <v>47</v>
      </c>
      <c r="T62" s="115"/>
      <c r="U62" s="115"/>
      <c r="V62" s="115">
        <v>300000</v>
      </c>
      <c r="W62" s="115">
        <v>4168</v>
      </c>
      <c r="X62" s="115">
        <v>560</v>
      </c>
      <c r="Y62" s="115" t="s">
        <v>48</v>
      </c>
      <c r="Z62" s="115"/>
      <c r="AA62" s="115"/>
      <c r="AB62" s="115"/>
      <c r="AC62" s="115"/>
      <c r="AD62" s="115"/>
      <c r="AE62" s="115"/>
      <c r="AF62" s="291"/>
      <c r="AG62" s="246">
        <v>43067</v>
      </c>
      <c r="AH62" s="133">
        <f>AJ62</f>
        <v>612490</v>
      </c>
      <c r="AI62" s="132">
        <f t="shared" si="19"/>
        <v>612490</v>
      </c>
      <c r="AJ62" s="132">
        <f t="shared" si="20"/>
        <v>612490</v>
      </c>
      <c r="AK62" s="132">
        <f t="shared" si="21"/>
        <v>0</v>
      </c>
      <c r="AL62" s="176"/>
      <c r="AM62" s="133"/>
      <c r="AN62" s="246">
        <v>44841</v>
      </c>
      <c r="AO62" s="259"/>
    </row>
    <row r="63" s="187" customFormat="1" customHeight="1" spans="1:41">
      <c r="A63" s="115" t="s">
        <v>267</v>
      </c>
      <c r="B63" s="115" t="s">
        <v>268</v>
      </c>
      <c r="C63" s="193" t="s">
        <v>269</v>
      </c>
      <c r="D63" s="193" t="str">
        <f t="shared" si="1"/>
        <v>王建霞41010519801128162x</v>
      </c>
      <c r="E63" s="155">
        <v>13526680081</v>
      </c>
      <c r="F63" s="115"/>
      <c r="G63" s="115">
        <v>9</v>
      </c>
      <c r="H63" s="115">
        <v>3</v>
      </c>
      <c r="I63" s="115">
        <v>23</v>
      </c>
      <c r="J63" s="115">
        <v>2302</v>
      </c>
      <c r="K63" s="115">
        <v>99.56</v>
      </c>
      <c r="L63" s="115">
        <v>8750</v>
      </c>
      <c r="M63" s="115"/>
      <c r="N63" s="115"/>
      <c r="O63" s="431">
        <v>8649.61</v>
      </c>
      <c r="P63" s="115">
        <v>861155</v>
      </c>
      <c r="Q63" s="115" t="s">
        <v>66</v>
      </c>
      <c r="R63" s="115">
        <v>361155</v>
      </c>
      <c r="S63" s="115"/>
      <c r="T63" s="115">
        <v>500000</v>
      </c>
      <c r="U63" s="115"/>
      <c r="V63" s="115"/>
      <c r="W63" s="115">
        <v>6471</v>
      </c>
      <c r="X63" s="115">
        <v>80</v>
      </c>
      <c r="Y63" s="115"/>
      <c r="Z63" s="115"/>
      <c r="AA63" s="115"/>
      <c r="AB63" s="115">
        <v>1136</v>
      </c>
      <c r="AC63" s="115"/>
      <c r="AD63" s="115"/>
      <c r="AE63" s="115"/>
      <c r="AF63" s="291"/>
      <c r="AG63" s="246">
        <v>43094</v>
      </c>
      <c r="AH63" s="133">
        <f>W63+X63</f>
        <v>6551</v>
      </c>
      <c r="AI63" s="132">
        <f t="shared" si="19"/>
        <v>368842</v>
      </c>
      <c r="AJ63" s="132">
        <f t="shared" si="20"/>
        <v>367706</v>
      </c>
      <c r="AK63" s="132">
        <f t="shared" si="21"/>
        <v>1136</v>
      </c>
      <c r="AL63" s="176"/>
      <c r="AM63" s="133"/>
      <c r="AN63" s="246">
        <v>44841</v>
      </c>
      <c r="AO63" s="259"/>
    </row>
    <row r="64" s="187" customFormat="1" customHeight="1" spans="1:41">
      <c r="A64" s="115" t="s">
        <v>270</v>
      </c>
      <c r="B64" s="115" t="s">
        <v>271</v>
      </c>
      <c r="C64" s="193" t="s">
        <v>272</v>
      </c>
      <c r="D64" s="193" t="str">
        <f t="shared" si="1"/>
        <v>李瑞娟410105193610032729</v>
      </c>
      <c r="E64" s="155" t="s">
        <v>273</v>
      </c>
      <c r="F64" s="115"/>
      <c r="G64" s="115">
        <v>11</v>
      </c>
      <c r="H64" s="115">
        <v>3</v>
      </c>
      <c r="I64" s="115">
        <v>20</v>
      </c>
      <c r="J64" s="115">
        <v>2001</v>
      </c>
      <c r="K64" s="115">
        <v>149.28</v>
      </c>
      <c r="L64" s="115">
        <v>12700</v>
      </c>
      <c r="M64" s="115"/>
      <c r="N64" s="115"/>
      <c r="O64" s="431">
        <v>12600</v>
      </c>
      <c r="P64" s="115">
        <v>1880928</v>
      </c>
      <c r="Q64" s="115" t="s">
        <v>56</v>
      </c>
      <c r="R64" s="115">
        <v>1880928</v>
      </c>
      <c r="S64" s="115" t="s">
        <v>47</v>
      </c>
      <c r="T64" s="115"/>
      <c r="U64" s="115"/>
      <c r="V64" s="115"/>
      <c r="W64" s="115">
        <v>9703</v>
      </c>
      <c r="X64" s="115">
        <v>80</v>
      </c>
      <c r="Y64" s="115" t="s">
        <v>48</v>
      </c>
      <c r="Z64" s="115"/>
      <c r="AA64" s="115"/>
      <c r="AB64" s="115"/>
      <c r="AC64" s="115"/>
      <c r="AD64" s="115"/>
      <c r="AE64" s="115"/>
      <c r="AF64" s="291"/>
      <c r="AG64" s="246">
        <v>43973</v>
      </c>
      <c r="AH64" s="133"/>
      <c r="AI64" s="132">
        <f t="shared" si="19"/>
        <v>1890711</v>
      </c>
      <c r="AJ64" s="132">
        <f t="shared" si="20"/>
        <v>1890711</v>
      </c>
      <c r="AK64" s="132">
        <f t="shared" si="21"/>
        <v>0</v>
      </c>
      <c r="AL64" s="176"/>
      <c r="AM64" s="133"/>
      <c r="AN64" s="246">
        <v>44841</v>
      </c>
      <c r="AO64" s="259"/>
    </row>
    <row r="65" s="187" customFormat="1" customHeight="1" spans="1:41">
      <c r="A65" s="115" t="s">
        <v>274</v>
      </c>
      <c r="B65" s="115" t="s">
        <v>275</v>
      </c>
      <c r="C65" s="193" t="s">
        <v>276</v>
      </c>
      <c r="D65" s="193" t="str">
        <f t="shared" si="1"/>
        <v>李雅莉412724199401091862</v>
      </c>
      <c r="E65" s="155">
        <v>13676972576</v>
      </c>
      <c r="F65" s="115" t="s">
        <v>277</v>
      </c>
      <c r="G65" s="115">
        <v>11</v>
      </c>
      <c r="H65" s="115">
        <v>3</v>
      </c>
      <c r="I65" s="115">
        <v>16</v>
      </c>
      <c r="J65" s="115">
        <v>1602</v>
      </c>
      <c r="K65" s="115">
        <v>95.81</v>
      </c>
      <c r="L65" s="115">
        <v>19970</v>
      </c>
      <c r="M65" s="115"/>
      <c r="N65" s="115"/>
      <c r="O65" s="431">
        <v>19965</v>
      </c>
      <c r="P65" s="115">
        <f>ROUND(K65*O65,0)</f>
        <v>1912847</v>
      </c>
      <c r="Q65" s="115" t="s">
        <v>66</v>
      </c>
      <c r="R65" s="115">
        <v>1082847</v>
      </c>
      <c r="S65" s="115" t="s">
        <v>47</v>
      </c>
      <c r="T65" s="115"/>
      <c r="U65" s="115"/>
      <c r="V65" s="115">
        <v>830000</v>
      </c>
      <c r="W65" s="115">
        <v>6227</v>
      </c>
      <c r="X65" s="115">
        <v>80</v>
      </c>
      <c r="Y65" s="115" t="s">
        <v>48</v>
      </c>
      <c r="Z65" s="115"/>
      <c r="AA65" s="115"/>
      <c r="AB65" s="115"/>
      <c r="AC65" s="115"/>
      <c r="AD65" s="115">
        <v>-830000</v>
      </c>
      <c r="AE65" s="115"/>
      <c r="AF65" s="291"/>
      <c r="AG65" s="246">
        <v>43984</v>
      </c>
      <c r="AH65" s="133"/>
      <c r="AI65" s="132">
        <f t="shared" si="19"/>
        <v>1089154</v>
      </c>
      <c r="AJ65" s="132">
        <f t="shared" si="20"/>
        <v>1919154</v>
      </c>
      <c r="AK65" s="132">
        <f t="shared" si="21"/>
        <v>-830000</v>
      </c>
      <c r="AL65" s="176" t="s">
        <v>278</v>
      </c>
      <c r="AM65" s="133"/>
      <c r="AN65" s="246">
        <v>44841</v>
      </c>
      <c r="AO65" s="259"/>
    </row>
    <row r="66" s="187" customFormat="1" customHeight="1" spans="1:41">
      <c r="A66" s="115" t="s">
        <v>279</v>
      </c>
      <c r="B66" s="115" t="s">
        <v>280</v>
      </c>
      <c r="C66" s="546" t="s">
        <v>281</v>
      </c>
      <c r="D66" s="193" t="str">
        <f t="shared" si="1"/>
        <v>吕翔410104197303062516</v>
      </c>
      <c r="E66" s="155">
        <v>18639551801</v>
      </c>
      <c r="F66" s="115"/>
      <c r="G66" s="115">
        <v>11</v>
      </c>
      <c r="H66" s="115">
        <v>3</v>
      </c>
      <c r="I66" s="115">
        <v>16</v>
      </c>
      <c r="J66" s="115">
        <v>1603</v>
      </c>
      <c r="K66" s="115">
        <v>151.44</v>
      </c>
      <c r="L66" s="115">
        <v>8300</v>
      </c>
      <c r="M66" s="115"/>
      <c r="N66" s="115"/>
      <c r="O66" s="431">
        <v>8200</v>
      </c>
      <c r="P66" s="115">
        <f>ROUND(K66*O66,0)</f>
        <v>1241808</v>
      </c>
      <c r="Q66" s="115" t="s">
        <v>56</v>
      </c>
      <c r="R66" s="115">
        <v>1245415</v>
      </c>
      <c r="S66" s="115">
        <v>-3607</v>
      </c>
      <c r="T66" s="115" t="s">
        <v>47</v>
      </c>
      <c r="U66" s="115"/>
      <c r="V66" s="115"/>
      <c r="W66" s="115">
        <v>9843</v>
      </c>
      <c r="X66" s="115">
        <v>80</v>
      </c>
      <c r="Y66" s="115" t="s">
        <v>48</v>
      </c>
      <c r="Z66" s="115"/>
      <c r="AA66" s="115"/>
      <c r="AB66" s="115"/>
      <c r="AC66" s="115"/>
      <c r="AD66" s="115"/>
      <c r="AE66" s="115" t="s">
        <v>237</v>
      </c>
      <c r="AF66" s="291" t="s">
        <v>165</v>
      </c>
      <c r="AG66" s="246">
        <v>42166</v>
      </c>
      <c r="AH66" s="133"/>
      <c r="AI66" s="132">
        <f t="shared" ref="AI66:AI90" si="22">R66+V66+W66+X66+AA66+AB66+AC66+AD66</f>
        <v>1255338</v>
      </c>
      <c r="AJ66" s="132">
        <f t="shared" ref="AJ66:AJ90" si="23">R66+W66+V66+X66+AA66</f>
        <v>1255338</v>
      </c>
      <c r="AK66" s="132">
        <f t="shared" ref="AK66:AK90" si="24">AI66-AJ66</f>
        <v>0</v>
      </c>
      <c r="AL66" s="176"/>
      <c r="AM66" s="133"/>
      <c r="AN66" s="246">
        <v>44841</v>
      </c>
      <c r="AO66" s="259"/>
    </row>
    <row r="67" s="187" customFormat="1" customHeight="1" spans="1:41">
      <c r="A67" s="115" t="s">
        <v>282</v>
      </c>
      <c r="B67" s="115" t="s">
        <v>283</v>
      </c>
      <c r="C67" s="193" t="s">
        <v>284</v>
      </c>
      <c r="D67" s="193" t="str">
        <f t="shared" ref="D67:D130" si="25">B67&amp;C67</f>
        <v>贾丹丹412728198903171521</v>
      </c>
      <c r="E67" s="155">
        <v>13523029259</v>
      </c>
      <c r="F67" s="115"/>
      <c r="G67" s="115">
        <v>9</v>
      </c>
      <c r="H67" s="115">
        <v>3</v>
      </c>
      <c r="I67" s="115">
        <v>14</v>
      </c>
      <c r="J67" s="115">
        <v>1403</v>
      </c>
      <c r="K67" s="115">
        <v>99.56</v>
      </c>
      <c r="L67" s="115">
        <v>10822</v>
      </c>
      <c r="M67" s="115"/>
      <c r="N67" s="115"/>
      <c r="O67" s="431">
        <v>10722</v>
      </c>
      <c r="P67" s="115">
        <f>ROUND(O67*K67,0)</f>
        <v>1067482</v>
      </c>
      <c r="Q67" s="115" t="s">
        <v>66</v>
      </c>
      <c r="R67" s="115">
        <v>327482</v>
      </c>
      <c r="S67" s="115"/>
      <c r="T67" s="115">
        <v>740000</v>
      </c>
      <c r="U67" s="115"/>
      <c r="V67" s="115"/>
      <c r="W67" s="115">
        <v>6471</v>
      </c>
      <c r="X67" s="115">
        <v>80</v>
      </c>
      <c r="Y67" s="115"/>
      <c r="Z67" s="115"/>
      <c r="AA67" s="115"/>
      <c r="AB67" s="115"/>
      <c r="AC67" s="115"/>
      <c r="AD67" s="115"/>
      <c r="AE67" s="115" t="s">
        <v>237</v>
      </c>
      <c r="AF67" s="291" t="s">
        <v>285</v>
      </c>
      <c r="AG67" s="246">
        <v>41628</v>
      </c>
      <c r="AH67" s="133">
        <v>300000</v>
      </c>
      <c r="AI67" s="132">
        <f t="shared" si="22"/>
        <v>334033</v>
      </c>
      <c r="AJ67" s="132">
        <f t="shared" si="23"/>
        <v>334033</v>
      </c>
      <c r="AK67" s="132">
        <f t="shared" si="24"/>
        <v>0</v>
      </c>
      <c r="AL67" s="176" t="s">
        <v>286</v>
      </c>
      <c r="AM67" s="133"/>
      <c r="AN67" s="246">
        <v>44841</v>
      </c>
      <c r="AO67" s="259"/>
    </row>
    <row r="68" s="187" customFormat="1" customHeight="1" spans="1:41">
      <c r="A68" s="115" t="s">
        <v>287</v>
      </c>
      <c r="B68" s="115" t="s">
        <v>288</v>
      </c>
      <c r="C68" s="193" t="s">
        <v>289</v>
      </c>
      <c r="D68" s="193" t="str">
        <f t="shared" si="25"/>
        <v>邓继锋410304197504151030</v>
      </c>
      <c r="E68" s="155" t="s">
        <v>290</v>
      </c>
      <c r="F68" s="115"/>
      <c r="G68" s="115">
        <v>9</v>
      </c>
      <c r="H68" s="115">
        <v>3</v>
      </c>
      <c r="I68" s="115">
        <v>4</v>
      </c>
      <c r="J68" s="115">
        <v>403</v>
      </c>
      <c r="K68" s="115">
        <v>98.96</v>
      </c>
      <c r="L68" s="115">
        <v>9100</v>
      </c>
      <c r="M68" s="115"/>
      <c r="N68" s="115"/>
      <c r="O68" s="431">
        <v>9000</v>
      </c>
      <c r="P68" s="115">
        <v>890640</v>
      </c>
      <c r="Q68" s="115" t="s">
        <v>46</v>
      </c>
      <c r="R68" s="115">
        <v>690640</v>
      </c>
      <c r="S68" s="115"/>
      <c r="T68" s="115" t="s">
        <v>47</v>
      </c>
      <c r="U68" s="115"/>
      <c r="V68" s="115">
        <v>200000</v>
      </c>
      <c r="W68" s="115">
        <v>6432</v>
      </c>
      <c r="X68" s="115">
        <v>80</v>
      </c>
      <c r="Y68" s="115"/>
      <c r="Z68" s="115" t="s">
        <v>48</v>
      </c>
      <c r="AA68" s="115"/>
      <c r="AB68" s="115"/>
      <c r="AC68" s="115"/>
      <c r="AD68" s="115"/>
      <c r="AE68" s="115"/>
      <c r="AF68" s="291"/>
      <c r="AG68" s="246">
        <v>43135</v>
      </c>
      <c r="AH68" s="133">
        <f>W68+X68</f>
        <v>6512</v>
      </c>
      <c r="AI68" s="132">
        <f t="shared" si="22"/>
        <v>897152</v>
      </c>
      <c r="AJ68" s="132">
        <f t="shared" si="23"/>
        <v>897152</v>
      </c>
      <c r="AK68" s="132">
        <f t="shared" si="24"/>
        <v>0</v>
      </c>
      <c r="AL68" s="176" t="s">
        <v>291</v>
      </c>
      <c r="AM68" s="133"/>
      <c r="AN68" s="246">
        <v>44841</v>
      </c>
      <c r="AO68" s="259"/>
    </row>
    <row r="69" s="187" customFormat="1" customHeight="1" spans="1:41">
      <c r="A69" s="115" t="s">
        <v>292</v>
      </c>
      <c r="B69" s="115" t="s">
        <v>293</v>
      </c>
      <c r="C69" s="193" t="s">
        <v>294</v>
      </c>
      <c r="D69" s="193" t="str">
        <f t="shared" si="25"/>
        <v>邓继锋
张媛媛410302197712011048</v>
      </c>
      <c r="E69" s="155" t="s">
        <v>295</v>
      </c>
      <c r="F69" s="115"/>
      <c r="G69" s="115">
        <v>2</v>
      </c>
      <c r="H69" s="115"/>
      <c r="I69" s="115">
        <v>10</v>
      </c>
      <c r="J69" s="115">
        <v>1006</v>
      </c>
      <c r="K69" s="115">
        <v>49.74</v>
      </c>
      <c r="L69" s="115">
        <v>20000</v>
      </c>
      <c r="M69" s="115"/>
      <c r="N69" s="115"/>
      <c r="O69" s="431">
        <v>8824.99</v>
      </c>
      <c r="P69" s="115">
        <v>438955</v>
      </c>
      <c r="Q69" s="115" t="s">
        <v>56</v>
      </c>
      <c r="R69" s="115">
        <v>438955</v>
      </c>
      <c r="S69" s="115"/>
      <c r="T69" s="115"/>
      <c r="U69" s="115">
        <v>0</v>
      </c>
      <c r="V69" s="115"/>
      <c r="W69" s="115">
        <v>3233</v>
      </c>
      <c r="X69" s="115">
        <v>560</v>
      </c>
      <c r="Y69" s="115" t="s">
        <v>48</v>
      </c>
      <c r="Z69" s="115"/>
      <c r="AA69" s="115"/>
      <c r="AB69" s="115"/>
      <c r="AC69" s="115"/>
      <c r="AD69" s="115"/>
      <c r="AE69" s="115"/>
      <c r="AF69" s="291"/>
      <c r="AG69" s="246">
        <v>43090</v>
      </c>
      <c r="AH69" s="133">
        <f>W69+X69</f>
        <v>3793</v>
      </c>
      <c r="AI69" s="132">
        <f t="shared" si="22"/>
        <v>442748</v>
      </c>
      <c r="AJ69" s="132">
        <f t="shared" si="23"/>
        <v>442748</v>
      </c>
      <c r="AK69" s="132">
        <f t="shared" si="24"/>
        <v>0</v>
      </c>
      <c r="AL69" s="176" t="s">
        <v>296</v>
      </c>
      <c r="AM69" s="133"/>
      <c r="AN69" s="246">
        <v>44841</v>
      </c>
      <c r="AO69" s="259"/>
    </row>
    <row r="70" s="187" customFormat="1" customHeight="1" spans="1:41">
      <c r="A70" s="115" t="s">
        <v>297</v>
      </c>
      <c r="B70" s="115" t="s">
        <v>298</v>
      </c>
      <c r="C70" s="193" t="s">
        <v>299</v>
      </c>
      <c r="D70" s="193" t="str">
        <f t="shared" si="25"/>
        <v>徐进410126196508010043</v>
      </c>
      <c r="E70" s="155">
        <v>15837187649</v>
      </c>
      <c r="F70" s="115"/>
      <c r="G70" s="115">
        <v>9</v>
      </c>
      <c r="H70" s="115">
        <v>3</v>
      </c>
      <c r="I70" s="115">
        <v>24</v>
      </c>
      <c r="J70" s="115">
        <v>2401</v>
      </c>
      <c r="K70" s="115">
        <v>93.4</v>
      </c>
      <c r="L70" s="115">
        <v>9100</v>
      </c>
      <c r="M70" s="115"/>
      <c r="N70" s="115"/>
      <c r="O70" s="431">
        <v>9000</v>
      </c>
      <c r="P70" s="115">
        <v>840600</v>
      </c>
      <c r="Q70" s="115" t="s">
        <v>66</v>
      </c>
      <c r="R70" s="115">
        <v>590600</v>
      </c>
      <c r="S70" s="115"/>
      <c r="T70" s="115">
        <v>250000</v>
      </c>
      <c r="U70" s="115"/>
      <c r="V70" s="115"/>
      <c r="W70" s="115">
        <v>6071</v>
      </c>
      <c r="X70" s="115">
        <v>80</v>
      </c>
      <c r="Y70" s="115"/>
      <c r="Z70" s="115" t="s">
        <v>48</v>
      </c>
      <c r="AA70" s="115"/>
      <c r="AB70" s="115">
        <v>1305</v>
      </c>
      <c r="AC70" s="115"/>
      <c r="AD70" s="115"/>
      <c r="AE70" s="115"/>
      <c r="AF70" s="291"/>
      <c r="AG70" s="246">
        <v>44077</v>
      </c>
      <c r="AH70" s="133"/>
      <c r="AI70" s="132">
        <f t="shared" si="22"/>
        <v>598056</v>
      </c>
      <c r="AJ70" s="132">
        <f t="shared" si="23"/>
        <v>596751</v>
      </c>
      <c r="AK70" s="132">
        <f t="shared" si="24"/>
        <v>1305</v>
      </c>
      <c r="AL70" s="176" t="s">
        <v>177</v>
      </c>
      <c r="AM70" s="133"/>
      <c r="AN70" s="246">
        <v>44841</v>
      </c>
      <c r="AO70" s="259"/>
    </row>
    <row r="71" s="187" customFormat="1" customHeight="1" spans="1:41">
      <c r="A71" s="115" t="s">
        <v>300</v>
      </c>
      <c r="B71" s="115" t="s">
        <v>301</v>
      </c>
      <c r="C71" s="193" t="s">
        <v>302</v>
      </c>
      <c r="D71" s="193" t="str">
        <f t="shared" si="25"/>
        <v>赵付安412932196407170016</v>
      </c>
      <c r="E71" s="155" t="s">
        <v>303</v>
      </c>
      <c r="F71" s="115"/>
      <c r="G71" s="115">
        <v>3</v>
      </c>
      <c r="H71" s="115"/>
      <c r="I71" s="115">
        <v>16</v>
      </c>
      <c r="J71" s="115">
        <v>1633</v>
      </c>
      <c r="K71" s="115">
        <v>55.05</v>
      </c>
      <c r="L71" s="115">
        <v>20000</v>
      </c>
      <c r="M71" s="115"/>
      <c r="N71" s="115"/>
      <c r="O71" s="431">
        <v>13000</v>
      </c>
      <c r="P71" s="115">
        <f>ROUND(O71*K71,0)</f>
        <v>715650</v>
      </c>
      <c r="Q71" s="115" t="s">
        <v>66</v>
      </c>
      <c r="R71" s="115">
        <v>366430</v>
      </c>
      <c r="S71" s="115"/>
      <c r="T71" s="115">
        <v>349220</v>
      </c>
      <c r="U71" s="115"/>
      <c r="V71" s="115"/>
      <c r="W71" s="115"/>
      <c r="X71" s="115"/>
      <c r="Y71" s="115"/>
      <c r="Z71" s="115"/>
      <c r="AA71" s="115"/>
      <c r="AB71" s="115"/>
      <c r="AC71" s="115"/>
      <c r="AD71" s="115"/>
      <c r="AE71" s="115" t="s">
        <v>237</v>
      </c>
      <c r="AF71" s="291" t="s">
        <v>160</v>
      </c>
      <c r="AG71" s="246">
        <v>42812</v>
      </c>
      <c r="AH71" s="133"/>
      <c r="AI71" s="132">
        <f t="shared" si="22"/>
        <v>366430</v>
      </c>
      <c r="AJ71" s="132">
        <f t="shared" si="23"/>
        <v>366430</v>
      </c>
      <c r="AK71" s="132">
        <f t="shared" si="24"/>
        <v>0</v>
      </c>
      <c r="AL71" s="176"/>
      <c r="AM71" s="133"/>
      <c r="AN71" s="246">
        <v>44841</v>
      </c>
      <c r="AO71" s="259"/>
    </row>
    <row r="72" s="187" customFormat="1" customHeight="1" spans="1:41">
      <c r="A72" s="115" t="s">
        <v>304</v>
      </c>
      <c r="B72" s="115" t="s">
        <v>305</v>
      </c>
      <c r="C72" s="193" t="s">
        <v>306</v>
      </c>
      <c r="D72" s="193" t="str">
        <f t="shared" si="25"/>
        <v>高婉予410105199107080027</v>
      </c>
      <c r="E72" s="155">
        <v>15738861887</v>
      </c>
      <c r="F72" s="115"/>
      <c r="G72" s="115">
        <v>3</v>
      </c>
      <c r="H72" s="115"/>
      <c r="I72" s="115">
        <v>7</v>
      </c>
      <c r="J72" s="115">
        <v>731</v>
      </c>
      <c r="K72" s="115">
        <v>56.44</v>
      </c>
      <c r="L72" s="115">
        <v>20000</v>
      </c>
      <c r="M72" s="115"/>
      <c r="N72" s="115"/>
      <c r="O72" s="431">
        <v>12470</v>
      </c>
      <c r="P72" s="115">
        <f>ROUND(O72*K72,0)</f>
        <v>703807</v>
      </c>
      <c r="Q72" s="115" t="s">
        <v>66</v>
      </c>
      <c r="R72" s="115">
        <v>503807</v>
      </c>
      <c r="S72" s="115"/>
      <c r="T72" s="115">
        <v>200000</v>
      </c>
      <c r="U72" s="115"/>
      <c r="V72" s="115"/>
      <c r="W72" s="115">
        <v>3668</v>
      </c>
      <c r="X72" s="115">
        <v>550</v>
      </c>
      <c r="Y72" s="115" t="s">
        <v>48</v>
      </c>
      <c r="Z72" s="115"/>
      <c r="AA72" s="115"/>
      <c r="AB72" s="115">
        <v>1000</v>
      </c>
      <c r="AC72" s="115"/>
      <c r="AD72" s="115"/>
      <c r="AE72" s="115"/>
      <c r="AF72" s="291"/>
      <c r="AG72" s="246">
        <v>43082</v>
      </c>
      <c r="AH72" s="133"/>
      <c r="AI72" s="132">
        <f t="shared" si="22"/>
        <v>509025</v>
      </c>
      <c r="AJ72" s="132">
        <f t="shared" si="23"/>
        <v>508025</v>
      </c>
      <c r="AK72" s="132">
        <f t="shared" si="24"/>
        <v>1000</v>
      </c>
      <c r="AL72" s="176"/>
      <c r="AM72" s="133"/>
      <c r="AN72" s="246">
        <v>44841</v>
      </c>
      <c r="AO72" s="259"/>
    </row>
    <row r="73" s="187" customFormat="1" customHeight="1" spans="1:41">
      <c r="A73" s="115" t="s">
        <v>307</v>
      </c>
      <c r="B73" s="115" t="s">
        <v>308</v>
      </c>
      <c r="C73" s="193" t="s">
        <v>309</v>
      </c>
      <c r="D73" s="193" t="str">
        <f t="shared" si="25"/>
        <v>陈军410105196610220520</v>
      </c>
      <c r="E73" s="155">
        <v>18603869007</v>
      </c>
      <c r="F73" s="115"/>
      <c r="G73" s="115">
        <v>3</v>
      </c>
      <c r="H73" s="115"/>
      <c r="I73" s="115">
        <v>7</v>
      </c>
      <c r="J73" s="115">
        <v>724</v>
      </c>
      <c r="K73" s="115">
        <v>58.01</v>
      </c>
      <c r="L73" s="115">
        <v>20000</v>
      </c>
      <c r="M73" s="115"/>
      <c r="N73" s="115"/>
      <c r="O73" s="431">
        <v>9215.65</v>
      </c>
      <c r="P73" s="115">
        <f>ROUND(O73*K73,0)</f>
        <v>534600</v>
      </c>
      <c r="Q73" s="115" t="s">
        <v>56</v>
      </c>
      <c r="R73" s="115">
        <v>534600</v>
      </c>
      <c r="S73" s="115"/>
      <c r="T73" s="115" t="s">
        <v>47</v>
      </c>
      <c r="U73" s="115"/>
      <c r="V73" s="115"/>
      <c r="W73" s="115">
        <v>3770</v>
      </c>
      <c r="X73" s="115">
        <v>550</v>
      </c>
      <c r="Y73" s="115" t="s">
        <v>48</v>
      </c>
      <c r="Z73" s="115"/>
      <c r="AA73" s="115"/>
      <c r="AB73" s="115"/>
      <c r="AC73" s="115"/>
      <c r="AD73" s="115"/>
      <c r="AE73" s="115"/>
      <c r="AF73" s="291"/>
      <c r="AG73" s="246">
        <v>43068</v>
      </c>
      <c r="AH73" s="133">
        <f>R73+W73+X73</f>
        <v>538920</v>
      </c>
      <c r="AI73" s="132">
        <f t="shared" si="22"/>
        <v>538920</v>
      </c>
      <c r="AJ73" s="132">
        <f t="shared" si="23"/>
        <v>538920</v>
      </c>
      <c r="AK73" s="132">
        <f t="shared" si="24"/>
        <v>0</v>
      </c>
      <c r="AL73" s="176"/>
      <c r="AM73" s="133"/>
      <c r="AN73" s="246">
        <v>44841</v>
      </c>
      <c r="AO73" s="259"/>
    </row>
    <row r="74" s="187" customFormat="1" customHeight="1" spans="1:41">
      <c r="A74" s="115" t="s">
        <v>310</v>
      </c>
      <c r="B74" s="115" t="s">
        <v>311</v>
      </c>
      <c r="C74" s="193" t="s">
        <v>312</v>
      </c>
      <c r="D74" s="193" t="str">
        <f t="shared" si="25"/>
        <v>邢素娟410727198209162045</v>
      </c>
      <c r="E74" s="155" t="s">
        <v>313</v>
      </c>
      <c r="F74" s="115"/>
      <c r="G74" s="115">
        <v>3</v>
      </c>
      <c r="H74" s="115"/>
      <c r="I74" s="115">
        <v>19</v>
      </c>
      <c r="J74" s="115">
        <v>1927</v>
      </c>
      <c r="K74" s="115">
        <v>58.41</v>
      </c>
      <c r="L74" s="115">
        <v>20000</v>
      </c>
      <c r="M74" s="115"/>
      <c r="N74" s="115"/>
      <c r="O74" s="431">
        <v>12000</v>
      </c>
      <c r="P74" s="115">
        <f>ROUND(O74*K74,0)</f>
        <v>700920</v>
      </c>
      <c r="Q74" s="115" t="s">
        <v>56</v>
      </c>
      <c r="R74" s="115">
        <v>700920</v>
      </c>
      <c r="S74" s="115"/>
      <c r="T74" s="115" t="s">
        <v>47</v>
      </c>
      <c r="U74" s="115"/>
      <c r="V74" s="115"/>
      <c r="W74" s="115">
        <v>3796</v>
      </c>
      <c r="X74" s="115">
        <v>550</v>
      </c>
      <c r="Y74" s="115" t="s">
        <v>48</v>
      </c>
      <c r="Z74" s="115"/>
      <c r="AA74" s="115"/>
      <c r="AB74" s="115"/>
      <c r="AC74" s="115"/>
      <c r="AD74" s="115"/>
      <c r="AE74" s="115" t="s">
        <v>237</v>
      </c>
      <c r="AF74" s="291" t="s">
        <v>165</v>
      </c>
      <c r="AG74" s="246">
        <v>43157</v>
      </c>
      <c r="AH74" s="133">
        <v>705266</v>
      </c>
      <c r="AI74" s="132">
        <f t="shared" si="22"/>
        <v>705266</v>
      </c>
      <c r="AJ74" s="132">
        <f t="shared" si="23"/>
        <v>705266</v>
      </c>
      <c r="AK74" s="132">
        <f t="shared" si="24"/>
        <v>0</v>
      </c>
      <c r="AL74" s="176"/>
      <c r="AM74" s="133"/>
      <c r="AN74" s="246">
        <v>44841</v>
      </c>
      <c r="AO74" s="259"/>
    </row>
    <row r="75" s="187" customFormat="1" customHeight="1" spans="1:41">
      <c r="A75" s="115" t="s">
        <v>314</v>
      </c>
      <c r="B75" s="115" t="s">
        <v>315</v>
      </c>
      <c r="C75" s="193" t="s">
        <v>316</v>
      </c>
      <c r="D75" s="193" t="str">
        <f t="shared" si="25"/>
        <v>杨子江410105194906053312</v>
      </c>
      <c r="E75" s="155">
        <v>17737160299</v>
      </c>
      <c r="F75" s="115"/>
      <c r="G75" s="115">
        <v>10</v>
      </c>
      <c r="H75" s="115">
        <v>2</v>
      </c>
      <c r="I75" s="115">
        <v>6</v>
      </c>
      <c r="J75" s="115">
        <v>605</v>
      </c>
      <c r="K75" s="115">
        <v>93.84</v>
      </c>
      <c r="L75" s="115">
        <v>12700</v>
      </c>
      <c r="M75" s="115"/>
      <c r="N75" s="115"/>
      <c r="O75" s="431">
        <v>12600</v>
      </c>
      <c r="P75" s="115">
        <v>1182384</v>
      </c>
      <c r="Q75" s="115" t="s">
        <v>56</v>
      </c>
      <c r="R75" s="115">
        <v>1237441</v>
      </c>
      <c r="S75" s="115">
        <v>-55057</v>
      </c>
      <c r="T75" s="115" t="s">
        <v>47</v>
      </c>
      <c r="U75" s="115"/>
      <c r="V75" s="115"/>
      <c r="W75" s="115">
        <v>6099</v>
      </c>
      <c r="X75" s="115">
        <v>80</v>
      </c>
      <c r="Y75" s="115" t="s">
        <v>48</v>
      </c>
      <c r="Z75" s="115"/>
      <c r="AA75" s="115"/>
      <c r="AB75" s="115"/>
      <c r="AC75" s="115"/>
      <c r="AD75" s="115"/>
      <c r="AE75" s="115"/>
      <c r="AF75" s="291"/>
      <c r="AG75" s="246">
        <v>43975</v>
      </c>
      <c r="AH75" s="133"/>
      <c r="AI75" s="132">
        <f t="shared" si="22"/>
        <v>1243620</v>
      </c>
      <c r="AJ75" s="132">
        <f t="shared" si="23"/>
        <v>1243620</v>
      </c>
      <c r="AK75" s="132">
        <f t="shared" si="24"/>
        <v>0</v>
      </c>
      <c r="AL75" s="176"/>
      <c r="AM75" s="133"/>
      <c r="AN75" s="246">
        <v>44841</v>
      </c>
      <c r="AO75" s="259"/>
    </row>
    <row r="76" s="187" customFormat="1" customHeight="1" spans="1:41">
      <c r="A76" s="115" t="s">
        <v>317</v>
      </c>
      <c r="B76" s="115" t="s">
        <v>318</v>
      </c>
      <c r="C76" s="546" t="s">
        <v>319</v>
      </c>
      <c r="D76" s="193" t="str">
        <f t="shared" si="25"/>
        <v>张跃武410105197302136153</v>
      </c>
      <c r="E76" s="155">
        <v>13557598427</v>
      </c>
      <c r="F76" s="115"/>
      <c r="G76" s="115">
        <v>9</v>
      </c>
      <c r="H76" s="115">
        <v>3</v>
      </c>
      <c r="I76" s="115">
        <v>4</v>
      </c>
      <c r="J76" s="115">
        <v>404</v>
      </c>
      <c r="K76" s="115">
        <v>93.85</v>
      </c>
      <c r="L76" s="115">
        <v>19980</v>
      </c>
      <c r="M76" s="115"/>
      <c r="N76" s="115"/>
      <c r="O76" s="431">
        <v>14000</v>
      </c>
      <c r="P76" s="115">
        <f>ROUND(O76*K76,0)</f>
        <v>1313900</v>
      </c>
      <c r="Q76" s="115" t="s">
        <v>56</v>
      </c>
      <c r="R76" s="115">
        <v>1405600</v>
      </c>
      <c r="S76" s="115">
        <v>-91700</v>
      </c>
      <c r="T76" s="115" t="s">
        <v>47</v>
      </c>
      <c r="U76" s="115"/>
      <c r="V76" s="115"/>
      <c r="W76" s="115"/>
      <c r="X76" s="115"/>
      <c r="Y76" s="115"/>
      <c r="Z76" s="115"/>
      <c r="AA76" s="115"/>
      <c r="AB76" s="115"/>
      <c r="AC76" s="115"/>
      <c r="AD76" s="115"/>
      <c r="AE76" s="115"/>
      <c r="AF76" s="291"/>
      <c r="AG76" s="246">
        <v>43059</v>
      </c>
      <c r="AH76" s="133">
        <v>1405600</v>
      </c>
      <c r="AI76" s="132">
        <f t="shared" si="22"/>
        <v>1405600</v>
      </c>
      <c r="AJ76" s="132">
        <f t="shared" si="23"/>
        <v>1405600</v>
      </c>
      <c r="AK76" s="132">
        <f t="shared" si="24"/>
        <v>0</v>
      </c>
      <c r="AL76" s="176"/>
      <c r="AM76" s="133"/>
      <c r="AN76" s="246">
        <v>44841</v>
      </c>
      <c r="AO76" s="259"/>
    </row>
    <row r="77" s="187" customFormat="1" customHeight="1" spans="1:41">
      <c r="A77" s="115" t="s">
        <v>320</v>
      </c>
      <c r="B77" s="115" t="s">
        <v>321</v>
      </c>
      <c r="C77" s="193" t="s">
        <v>322</v>
      </c>
      <c r="D77" s="193" t="str">
        <f t="shared" si="25"/>
        <v>靳慧文410522198511292841</v>
      </c>
      <c r="E77" s="155" t="s">
        <v>323</v>
      </c>
      <c r="F77" s="115"/>
      <c r="G77" s="115">
        <v>3</v>
      </c>
      <c r="H77" s="115">
        <v>3</v>
      </c>
      <c r="I77" s="115">
        <v>14</v>
      </c>
      <c r="J77" s="115">
        <v>1419</v>
      </c>
      <c r="K77" s="115">
        <v>70.67</v>
      </c>
      <c r="L77" s="115">
        <v>20000</v>
      </c>
      <c r="M77" s="115"/>
      <c r="N77" s="115"/>
      <c r="O77" s="431">
        <v>8735.52</v>
      </c>
      <c r="P77" s="115">
        <f>ROUND(O77*K77,0)</f>
        <v>617339</v>
      </c>
      <c r="Q77" s="115" t="s">
        <v>66</v>
      </c>
      <c r="R77" s="115">
        <v>317339</v>
      </c>
      <c r="S77" s="115"/>
      <c r="T77" s="115"/>
      <c r="U77" s="115"/>
      <c r="V77" s="115">
        <v>300000</v>
      </c>
      <c r="W77" s="115">
        <v>4593</v>
      </c>
      <c r="X77" s="115">
        <v>550</v>
      </c>
      <c r="Y77" s="115" t="s">
        <v>48</v>
      </c>
      <c r="Z77" s="115"/>
      <c r="AA77" s="115"/>
      <c r="AB77" s="115"/>
      <c r="AC77" s="115"/>
      <c r="AD77" s="115">
        <f>-(4593+550)</f>
        <v>-5143</v>
      </c>
      <c r="AE77" s="115"/>
      <c r="AF77" s="291"/>
      <c r="AG77" s="246">
        <v>43284</v>
      </c>
      <c r="AH77" s="133"/>
      <c r="AI77" s="132">
        <f t="shared" si="22"/>
        <v>617339</v>
      </c>
      <c r="AJ77" s="132">
        <f t="shared" si="23"/>
        <v>622482</v>
      </c>
      <c r="AK77" s="132">
        <f t="shared" si="24"/>
        <v>-5143</v>
      </c>
      <c r="AL77" s="176" t="s">
        <v>324</v>
      </c>
      <c r="AM77" s="133"/>
      <c r="AN77" s="246">
        <v>44841</v>
      </c>
      <c r="AO77" s="259"/>
    </row>
    <row r="78" s="187" customFormat="1" customHeight="1" spans="1:41">
      <c r="A78" s="115" t="s">
        <v>325</v>
      </c>
      <c r="B78" s="115" t="s">
        <v>326</v>
      </c>
      <c r="C78" s="193" t="s">
        <v>327</v>
      </c>
      <c r="D78" s="193" t="str">
        <f t="shared" si="25"/>
        <v>肖学功41010519810220841x</v>
      </c>
      <c r="E78" s="155">
        <v>13526679746</v>
      </c>
      <c r="F78" s="115"/>
      <c r="G78" s="115">
        <v>11</v>
      </c>
      <c r="H78" s="115">
        <v>3</v>
      </c>
      <c r="I78" s="115">
        <v>29</v>
      </c>
      <c r="J78" s="115">
        <v>2901</v>
      </c>
      <c r="K78" s="115">
        <v>149.28</v>
      </c>
      <c r="L78" s="115">
        <v>17900</v>
      </c>
      <c r="M78" s="115"/>
      <c r="N78" s="115"/>
      <c r="O78" s="431">
        <v>15000</v>
      </c>
      <c r="P78" s="115">
        <f>ROUND(K78*O78,0)</f>
        <v>2239200</v>
      </c>
      <c r="Q78" s="115" t="s">
        <v>66</v>
      </c>
      <c r="R78" s="115">
        <v>689200</v>
      </c>
      <c r="S78" s="115" t="s">
        <v>47</v>
      </c>
      <c r="T78" s="115"/>
      <c r="U78" s="115"/>
      <c r="V78" s="115">
        <v>1550000</v>
      </c>
      <c r="W78" s="115">
        <v>9703</v>
      </c>
      <c r="X78" s="115">
        <v>80</v>
      </c>
      <c r="Y78" s="115" t="s">
        <v>48</v>
      </c>
      <c r="Z78" s="115"/>
      <c r="AA78" s="115"/>
      <c r="AB78" s="115">
        <f>1435+230+33588</f>
        <v>35253</v>
      </c>
      <c r="AC78" s="115"/>
      <c r="AD78" s="115"/>
      <c r="AE78" s="115"/>
      <c r="AF78" s="291"/>
      <c r="AG78" s="246">
        <v>42635</v>
      </c>
      <c r="AH78" s="133">
        <v>698983</v>
      </c>
      <c r="AI78" s="132">
        <f t="shared" si="22"/>
        <v>2284236</v>
      </c>
      <c r="AJ78" s="132">
        <f t="shared" si="23"/>
        <v>2248983</v>
      </c>
      <c r="AK78" s="132">
        <f t="shared" si="24"/>
        <v>35253</v>
      </c>
      <c r="AL78" s="176" t="s">
        <v>328</v>
      </c>
      <c r="AM78" s="133"/>
      <c r="AN78" s="246">
        <v>44841</v>
      </c>
      <c r="AO78" s="259"/>
    </row>
    <row r="79" s="187" customFormat="1" customHeight="1" spans="1:41">
      <c r="A79" s="115" t="s">
        <v>329</v>
      </c>
      <c r="B79" s="115" t="s">
        <v>330</v>
      </c>
      <c r="C79" s="193" t="s">
        <v>331</v>
      </c>
      <c r="D79" s="193" t="str">
        <f t="shared" si="25"/>
        <v>孙继才41022119710914021x</v>
      </c>
      <c r="E79" s="155">
        <v>17603829287</v>
      </c>
      <c r="F79" s="115"/>
      <c r="G79" s="115">
        <v>11</v>
      </c>
      <c r="H79" s="115">
        <v>3</v>
      </c>
      <c r="I79" s="115">
        <v>17</v>
      </c>
      <c r="J79" s="115">
        <v>1701</v>
      </c>
      <c r="K79" s="115">
        <v>149.28</v>
      </c>
      <c r="L79" s="115">
        <v>11223</v>
      </c>
      <c r="M79" s="115"/>
      <c r="N79" s="115"/>
      <c r="O79" s="431">
        <v>11123.00141</v>
      </c>
      <c r="P79" s="115">
        <v>1660442</v>
      </c>
      <c r="Q79" s="115" t="s">
        <v>66</v>
      </c>
      <c r="R79" s="115">
        <v>397459.2</v>
      </c>
      <c r="S79" s="115"/>
      <c r="T79" s="115">
        <v>1262982.6504848</v>
      </c>
      <c r="U79" s="115">
        <v>1262982.6504848</v>
      </c>
      <c r="V79" s="115"/>
      <c r="W79" s="115"/>
      <c r="X79" s="115"/>
      <c r="Y79" s="115"/>
      <c r="Z79" s="115"/>
      <c r="AA79" s="115"/>
      <c r="AB79" s="115"/>
      <c r="AC79" s="115"/>
      <c r="AD79" s="115"/>
      <c r="AE79" s="115"/>
      <c r="AF79" s="291"/>
      <c r="AG79" s="246">
        <v>42041</v>
      </c>
      <c r="AH79" s="133">
        <f>AJ79</f>
        <v>397459.2</v>
      </c>
      <c r="AI79" s="132">
        <f t="shared" si="22"/>
        <v>397459.2</v>
      </c>
      <c r="AJ79" s="132">
        <f t="shared" si="23"/>
        <v>397459.2</v>
      </c>
      <c r="AK79" s="132">
        <f t="shared" si="24"/>
        <v>0</v>
      </c>
      <c r="AL79" s="176" t="s">
        <v>332</v>
      </c>
      <c r="AM79" s="133"/>
      <c r="AN79" s="246">
        <v>44841</v>
      </c>
      <c r="AO79" s="259"/>
    </row>
    <row r="80" s="187" customFormat="1" customHeight="1" spans="1:41">
      <c r="A80" s="115" t="s">
        <v>333</v>
      </c>
      <c r="B80" s="115" t="s">
        <v>334</v>
      </c>
      <c r="C80" s="193" t="s">
        <v>335</v>
      </c>
      <c r="D80" s="193" t="str">
        <f t="shared" si="25"/>
        <v>相爱伦410412196910260022</v>
      </c>
      <c r="E80" s="155">
        <v>13837560897</v>
      </c>
      <c r="F80" s="115"/>
      <c r="G80" s="115">
        <v>3</v>
      </c>
      <c r="H80" s="115">
        <v>3</v>
      </c>
      <c r="I80" s="115">
        <v>12</v>
      </c>
      <c r="J80" s="115">
        <v>1209</v>
      </c>
      <c r="K80" s="115">
        <v>62.31</v>
      </c>
      <c r="L80" s="115">
        <v>20000</v>
      </c>
      <c r="M80" s="115"/>
      <c r="N80" s="115"/>
      <c r="O80" s="431">
        <v>8976.7</v>
      </c>
      <c r="P80" s="115">
        <f t="shared" ref="P80:P86" si="26">ROUND(O80*K80,0)</f>
        <v>559338</v>
      </c>
      <c r="Q80" s="115" t="s">
        <v>56</v>
      </c>
      <c r="R80" s="115">
        <v>559338</v>
      </c>
      <c r="S80" s="115"/>
      <c r="T80" s="115" t="s">
        <v>47</v>
      </c>
      <c r="U80" s="115"/>
      <c r="V80" s="115"/>
      <c r="W80" s="115">
        <v>4050</v>
      </c>
      <c r="X80" s="115">
        <v>550</v>
      </c>
      <c r="Y80" s="115" t="s">
        <v>48</v>
      </c>
      <c r="Z80" s="115"/>
      <c r="AA80" s="115"/>
      <c r="AB80" s="115"/>
      <c r="AC80" s="115"/>
      <c r="AD80" s="115"/>
      <c r="AE80" s="115"/>
      <c r="AF80" s="291"/>
      <c r="AG80" s="246">
        <v>42724</v>
      </c>
      <c r="AH80" s="133">
        <v>563938</v>
      </c>
      <c r="AI80" s="132">
        <f t="shared" si="22"/>
        <v>563938</v>
      </c>
      <c r="AJ80" s="132">
        <f t="shared" si="23"/>
        <v>563938</v>
      </c>
      <c r="AK80" s="132">
        <f t="shared" si="24"/>
        <v>0</v>
      </c>
      <c r="AL80" s="176"/>
      <c r="AM80" s="133"/>
      <c r="AN80" s="246">
        <v>44841</v>
      </c>
      <c r="AO80" s="259"/>
    </row>
    <row r="81" s="187" customFormat="1" customHeight="1" spans="1:41">
      <c r="A81" s="115" t="s">
        <v>336</v>
      </c>
      <c r="B81" s="115" t="s">
        <v>337</v>
      </c>
      <c r="C81" s="193" t="s">
        <v>338</v>
      </c>
      <c r="D81" s="193" t="str">
        <f t="shared" si="25"/>
        <v>姜勃410105198904270119</v>
      </c>
      <c r="E81" s="155" t="s">
        <v>339</v>
      </c>
      <c r="F81" s="115"/>
      <c r="G81" s="115">
        <v>11</v>
      </c>
      <c r="H81" s="115">
        <v>3</v>
      </c>
      <c r="I81" s="115">
        <v>25</v>
      </c>
      <c r="J81" s="115">
        <v>2501</v>
      </c>
      <c r="K81" s="115">
        <v>149.28</v>
      </c>
      <c r="L81" s="115">
        <v>17900</v>
      </c>
      <c r="M81" s="115"/>
      <c r="N81" s="115"/>
      <c r="O81" s="431">
        <v>13800</v>
      </c>
      <c r="P81" s="115">
        <v>2060064</v>
      </c>
      <c r="Q81" s="115" t="s">
        <v>56</v>
      </c>
      <c r="R81" s="115">
        <v>2060064</v>
      </c>
      <c r="S81" s="115" t="s">
        <v>47</v>
      </c>
      <c r="T81" s="115"/>
      <c r="U81" s="115"/>
      <c r="V81" s="115"/>
      <c r="W81" s="115">
        <v>9703</v>
      </c>
      <c r="X81" s="115">
        <v>80</v>
      </c>
      <c r="Y81" s="115" t="s">
        <v>48</v>
      </c>
      <c r="Z81" s="115"/>
      <c r="AA81" s="115"/>
      <c r="AB81" s="115"/>
      <c r="AC81" s="115"/>
      <c r="AD81" s="115"/>
      <c r="AE81" s="115"/>
      <c r="AF81" s="291"/>
      <c r="AG81" s="246">
        <v>43156</v>
      </c>
      <c r="AH81" s="133">
        <f>AI81</f>
        <v>2069847</v>
      </c>
      <c r="AI81" s="132">
        <f t="shared" si="22"/>
        <v>2069847</v>
      </c>
      <c r="AJ81" s="132">
        <f t="shared" si="23"/>
        <v>2069847</v>
      </c>
      <c r="AK81" s="132">
        <f t="shared" si="24"/>
        <v>0</v>
      </c>
      <c r="AL81" s="176"/>
      <c r="AM81" s="133"/>
      <c r="AN81" s="246">
        <v>44841</v>
      </c>
      <c r="AO81" s="259"/>
    </row>
    <row r="82" s="187" customFormat="1" customHeight="1" spans="1:41">
      <c r="A82" s="115" t="s">
        <v>340</v>
      </c>
      <c r="B82" s="115" t="s">
        <v>341</v>
      </c>
      <c r="C82" s="193" t="s">
        <v>342</v>
      </c>
      <c r="D82" s="193" t="str">
        <f t="shared" si="25"/>
        <v>任梅412701197211112024</v>
      </c>
      <c r="E82" s="155">
        <v>18738865162</v>
      </c>
      <c r="F82" s="115"/>
      <c r="G82" s="115">
        <v>3</v>
      </c>
      <c r="H82" s="115"/>
      <c r="I82" s="115">
        <v>8</v>
      </c>
      <c r="J82" s="115">
        <v>823</v>
      </c>
      <c r="K82" s="115">
        <v>59.07</v>
      </c>
      <c r="L82" s="115">
        <v>20000</v>
      </c>
      <c r="M82" s="115"/>
      <c r="N82" s="115"/>
      <c r="O82" s="431">
        <v>9376.21</v>
      </c>
      <c r="P82" s="115">
        <v>553853</v>
      </c>
      <c r="Q82" s="115" t="s">
        <v>66</v>
      </c>
      <c r="R82" s="115">
        <v>283853</v>
      </c>
      <c r="S82" s="115"/>
      <c r="T82" s="115" t="s">
        <v>47</v>
      </c>
      <c r="U82" s="115"/>
      <c r="V82" s="115">
        <v>270000</v>
      </c>
      <c r="W82" s="115">
        <v>3839</v>
      </c>
      <c r="X82" s="115">
        <v>550</v>
      </c>
      <c r="Y82" s="115" t="s">
        <v>48</v>
      </c>
      <c r="Z82" s="115"/>
      <c r="AA82" s="115"/>
      <c r="AB82" s="115">
        <v>3000</v>
      </c>
      <c r="AC82" s="115"/>
      <c r="AD82" s="115"/>
      <c r="AE82" s="115"/>
      <c r="AF82" s="291"/>
      <c r="AG82" s="246">
        <v>43068</v>
      </c>
      <c r="AH82" s="133"/>
      <c r="AI82" s="132">
        <f t="shared" si="22"/>
        <v>561242</v>
      </c>
      <c r="AJ82" s="132">
        <f t="shared" si="23"/>
        <v>558242</v>
      </c>
      <c r="AK82" s="132">
        <f t="shared" si="24"/>
        <v>3000</v>
      </c>
      <c r="AL82" s="176"/>
      <c r="AM82" s="133"/>
      <c r="AN82" s="246">
        <v>44841</v>
      </c>
      <c r="AO82" s="259"/>
    </row>
    <row r="83" s="187" customFormat="1" customHeight="1" spans="1:41">
      <c r="A83" s="115" t="s">
        <v>343</v>
      </c>
      <c r="B83" s="115" t="s">
        <v>344</v>
      </c>
      <c r="C83" s="193" t="s">
        <v>345</v>
      </c>
      <c r="D83" s="193" t="str">
        <f t="shared" si="25"/>
        <v>王静410103198006089024</v>
      </c>
      <c r="E83" s="155" t="s">
        <v>346</v>
      </c>
      <c r="F83" s="115"/>
      <c r="G83" s="115">
        <v>9</v>
      </c>
      <c r="H83" s="115">
        <v>3</v>
      </c>
      <c r="I83" s="115">
        <v>29</v>
      </c>
      <c r="J83" s="115">
        <v>2904</v>
      </c>
      <c r="K83" s="115">
        <v>94.65</v>
      </c>
      <c r="L83" s="115">
        <v>17900</v>
      </c>
      <c r="M83" s="115"/>
      <c r="N83" s="115"/>
      <c r="O83" s="431">
        <v>13800</v>
      </c>
      <c r="P83" s="115">
        <v>1306170</v>
      </c>
      <c r="Q83" s="115" t="s">
        <v>56</v>
      </c>
      <c r="R83" s="115">
        <v>1379288</v>
      </c>
      <c r="S83" s="115">
        <v>-73118</v>
      </c>
      <c r="T83" s="115" t="s">
        <v>47</v>
      </c>
      <c r="U83" s="115"/>
      <c r="V83" s="115"/>
      <c r="W83" s="115">
        <v>6152</v>
      </c>
      <c r="X83" s="115">
        <v>80</v>
      </c>
      <c r="Y83" s="115" t="s">
        <v>48</v>
      </c>
      <c r="Z83" s="115"/>
      <c r="AA83" s="115"/>
      <c r="AB83" s="115"/>
      <c r="AC83" s="115"/>
      <c r="AD83" s="115"/>
      <c r="AE83" s="115"/>
      <c r="AF83" s="291"/>
      <c r="AG83" s="246"/>
      <c r="AH83" s="133"/>
      <c r="AI83" s="132">
        <f t="shared" si="22"/>
        <v>1385520</v>
      </c>
      <c r="AJ83" s="132">
        <f t="shared" si="23"/>
        <v>1385520</v>
      </c>
      <c r="AK83" s="132">
        <f t="shared" si="24"/>
        <v>0</v>
      </c>
      <c r="AL83" s="176"/>
      <c r="AM83" s="133"/>
      <c r="AN83" s="246">
        <v>44841</v>
      </c>
      <c r="AO83" s="259"/>
    </row>
    <row r="84" s="187" customFormat="1" customHeight="1" spans="1:41">
      <c r="A84" s="115" t="s">
        <v>347</v>
      </c>
      <c r="B84" s="115" t="s">
        <v>348</v>
      </c>
      <c r="C84" s="193" t="s">
        <v>349</v>
      </c>
      <c r="D84" s="193" t="str">
        <f t="shared" si="25"/>
        <v>李新雨412725198911121162</v>
      </c>
      <c r="E84" s="155">
        <v>13619846934</v>
      </c>
      <c r="F84" s="115"/>
      <c r="G84" s="115">
        <v>3</v>
      </c>
      <c r="H84" s="115"/>
      <c r="I84" s="115">
        <v>11</v>
      </c>
      <c r="J84" s="115">
        <v>1109</v>
      </c>
      <c r="K84" s="115">
        <v>62.31</v>
      </c>
      <c r="L84" s="115">
        <v>20000</v>
      </c>
      <c r="M84" s="115"/>
      <c r="N84" s="115"/>
      <c r="O84" s="431">
        <v>8950.65</v>
      </c>
      <c r="P84" s="115">
        <f t="shared" si="26"/>
        <v>557715</v>
      </c>
      <c r="Q84" s="115" t="s">
        <v>66</v>
      </c>
      <c r="R84" s="115">
        <v>287715</v>
      </c>
      <c r="S84" s="115"/>
      <c r="T84" s="115" t="s">
        <v>47</v>
      </c>
      <c r="U84" s="115"/>
      <c r="V84" s="115">
        <v>270000</v>
      </c>
      <c r="W84" s="115">
        <v>4050</v>
      </c>
      <c r="X84" s="115">
        <v>550</v>
      </c>
      <c r="Y84" s="115" t="s">
        <v>48</v>
      </c>
      <c r="Z84" s="115"/>
      <c r="AA84" s="115"/>
      <c r="AB84" s="115">
        <f>3000+1877</f>
        <v>4877</v>
      </c>
      <c r="AC84" s="115"/>
      <c r="AD84" s="115"/>
      <c r="AE84" s="115" t="s">
        <v>237</v>
      </c>
      <c r="AF84" s="291" t="s">
        <v>160</v>
      </c>
      <c r="AG84" s="246">
        <v>43068</v>
      </c>
      <c r="AH84" s="133">
        <f>R84+W84+X84</f>
        <v>292315</v>
      </c>
      <c r="AI84" s="132">
        <f t="shared" si="22"/>
        <v>567192</v>
      </c>
      <c r="AJ84" s="132">
        <f t="shared" si="23"/>
        <v>562315</v>
      </c>
      <c r="AK84" s="132">
        <f t="shared" si="24"/>
        <v>4877</v>
      </c>
      <c r="AL84" s="176"/>
      <c r="AM84" s="133"/>
      <c r="AN84" s="246">
        <v>44841</v>
      </c>
      <c r="AO84" s="259"/>
    </row>
    <row r="85" s="187" customFormat="1" customHeight="1" spans="1:41">
      <c r="A85" s="115" t="s">
        <v>350</v>
      </c>
      <c r="B85" s="115" t="s">
        <v>348</v>
      </c>
      <c r="C85" s="193" t="s">
        <v>349</v>
      </c>
      <c r="D85" s="193" t="str">
        <f t="shared" si="25"/>
        <v>李新雨412725198911121162</v>
      </c>
      <c r="E85" s="155">
        <v>13619846934</v>
      </c>
      <c r="F85" s="115"/>
      <c r="G85" s="115">
        <v>3</v>
      </c>
      <c r="H85" s="115"/>
      <c r="I85" s="115">
        <v>11</v>
      </c>
      <c r="J85" s="115">
        <v>1108</v>
      </c>
      <c r="K85" s="115">
        <v>61.98</v>
      </c>
      <c r="L85" s="115">
        <v>20000</v>
      </c>
      <c r="M85" s="115"/>
      <c r="N85" s="115"/>
      <c r="O85" s="431">
        <v>9103.45</v>
      </c>
      <c r="P85" s="115">
        <f t="shared" si="26"/>
        <v>564232</v>
      </c>
      <c r="Q85" s="115" t="s">
        <v>66</v>
      </c>
      <c r="R85" s="115">
        <v>284232</v>
      </c>
      <c r="S85" s="115"/>
      <c r="T85" s="115">
        <v>280000</v>
      </c>
      <c r="U85" s="115"/>
      <c r="V85" s="115"/>
      <c r="W85" s="115">
        <v>4028</v>
      </c>
      <c r="X85" s="115">
        <v>550</v>
      </c>
      <c r="Y85" s="115" t="s">
        <v>48</v>
      </c>
      <c r="Z85" s="115"/>
      <c r="AA85" s="115"/>
      <c r="AB85" s="115">
        <v>4877</v>
      </c>
      <c r="AC85" s="115"/>
      <c r="AD85" s="115"/>
      <c r="AE85" s="115" t="s">
        <v>237</v>
      </c>
      <c r="AF85" s="291"/>
      <c r="AG85" s="246">
        <v>43190</v>
      </c>
      <c r="AH85" s="133">
        <f>R85+W85+X85</f>
        <v>288810</v>
      </c>
      <c r="AI85" s="132">
        <f t="shared" si="22"/>
        <v>293687</v>
      </c>
      <c r="AJ85" s="132">
        <f t="shared" si="23"/>
        <v>288810</v>
      </c>
      <c r="AK85" s="132">
        <f t="shared" si="24"/>
        <v>4877</v>
      </c>
      <c r="AL85" s="176"/>
      <c r="AM85" s="133"/>
      <c r="AN85" s="246">
        <v>44841</v>
      </c>
      <c r="AO85" s="259"/>
    </row>
    <row r="86" s="187" customFormat="1" customHeight="1" spans="1:41">
      <c r="A86" s="115" t="s">
        <v>351</v>
      </c>
      <c r="B86" s="115" t="s">
        <v>352</v>
      </c>
      <c r="C86" s="193" t="s">
        <v>353</v>
      </c>
      <c r="D86" s="193" t="str">
        <f t="shared" si="25"/>
        <v>党培410102197108045523</v>
      </c>
      <c r="E86" s="155">
        <v>18537145160</v>
      </c>
      <c r="F86" s="115"/>
      <c r="G86" s="115">
        <v>6</v>
      </c>
      <c r="H86" s="115">
        <v>1</v>
      </c>
      <c r="I86" s="115">
        <v>22</v>
      </c>
      <c r="J86" s="115">
        <v>2207</v>
      </c>
      <c r="K86" s="115">
        <v>86.33</v>
      </c>
      <c r="L86" s="115">
        <v>17900</v>
      </c>
      <c r="M86" s="115"/>
      <c r="N86" s="115"/>
      <c r="O86" s="431">
        <v>15000</v>
      </c>
      <c r="P86" s="115">
        <f t="shared" si="26"/>
        <v>1294950</v>
      </c>
      <c r="Q86" s="115" t="s">
        <v>46</v>
      </c>
      <c r="R86" s="115">
        <v>894950</v>
      </c>
      <c r="S86" s="115"/>
      <c r="T86" s="115" t="s">
        <v>47</v>
      </c>
      <c r="U86" s="115"/>
      <c r="V86" s="115">
        <v>400000</v>
      </c>
      <c r="W86" s="115">
        <v>5611</v>
      </c>
      <c r="X86" s="115">
        <v>80</v>
      </c>
      <c r="Y86" s="115" t="s">
        <v>48</v>
      </c>
      <c r="Z86" s="115"/>
      <c r="AA86" s="115"/>
      <c r="AB86" s="115"/>
      <c r="AC86" s="115"/>
      <c r="AD86" s="115"/>
      <c r="AE86" s="115"/>
      <c r="AF86" s="291"/>
      <c r="AG86" s="246">
        <v>43312</v>
      </c>
      <c r="AH86" s="133">
        <v>900641</v>
      </c>
      <c r="AI86" s="132">
        <f t="shared" si="22"/>
        <v>1300641</v>
      </c>
      <c r="AJ86" s="132">
        <f t="shared" si="23"/>
        <v>1300641</v>
      </c>
      <c r="AK86" s="132">
        <f t="shared" si="24"/>
        <v>0</v>
      </c>
      <c r="AL86" s="176"/>
      <c r="AM86" s="133"/>
      <c r="AN86" s="246">
        <v>44841</v>
      </c>
      <c r="AO86" s="259"/>
    </row>
    <row r="87" s="187" customFormat="1" customHeight="1" spans="1:41">
      <c r="A87" s="115" t="s">
        <v>354</v>
      </c>
      <c r="B87" s="115" t="s">
        <v>355</v>
      </c>
      <c r="C87" s="193" t="s">
        <v>356</v>
      </c>
      <c r="D87" s="193" t="str">
        <f t="shared" si="25"/>
        <v>李贵州410725198201223031</v>
      </c>
      <c r="E87" s="155" t="s">
        <v>357</v>
      </c>
      <c r="F87" s="115"/>
      <c r="G87" s="115">
        <v>9</v>
      </c>
      <c r="H87" s="115">
        <v>3</v>
      </c>
      <c r="I87" s="115">
        <v>25</v>
      </c>
      <c r="J87" s="115">
        <v>2501</v>
      </c>
      <c r="K87" s="115">
        <v>93.4</v>
      </c>
      <c r="L87" s="115">
        <v>11012</v>
      </c>
      <c r="M87" s="115"/>
      <c r="N87" s="115"/>
      <c r="O87" s="431">
        <v>8729.6</v>
      </c>
      <c r="P87" s="115">
        <v>815345</v>
      </c>
      <c r="Q87" s="115" t="s">
        <v>66</v>
      </c>
      <c r="R87" s="115">
        <v>495345</v>
      </c>
      <c r="S87" s="115"/>
      <c r="T87" s="115" t="s">
        <v>47</v>
      </c>
      <c r="U87" s="115"/>
      <c r="V87" s="115">
        <v>320000</v>
      </c>
      <c r="W87" s="115">
        <v>6071</v>
      </c>
      <c r="X87" s="115">
        <v>80</v>
      </c>
      <c r="Y87" s="115" t="s">
        <v>48</v>
      </c>
      <c r="Z87" s="115"/>
      <c r="AA87" s="115"/>
      <c r="AB87" s="115">
        <f>1116+1252</f>
        <v>2368</v>
      </c>
      <c r="AC87" s="115"/>
      <c r="AD87" s="115"/>
      <c r="AE87" s="115"/>
      <c r="AF87" s="291"/>
      <c r="AG87" s="246">
        <v>43088</v>
      </c>
      <c r="AH87" s="133">
        <v>421496</v>
      </c>
      <c r="AI87" s="132">
        <f t="shared" si="22"/>
        <v>823864</v>
      </c>
      <c r="AJ87" s="132">
        <f t="shared" si="23"/>
        <v>821496</v>
      </c>
      <c r="AK87" s="132">
        <f t="shared" si="24"/>
        <v>2368</v>
      </c>
      <c r="AL87" s="176"/>
      <c r="AM87" s="133"/>
      <c r="AN87" s="246">
        <v>44841</v>
      </c>
      <c r="AO87" s="259"/>
    </row>
    <row r="88" s="187" customFormat="1" customHeight="1" spans="1:41">
      <c r="A88" s="115" t="s">
        <v>358</v>
      </c>
      <c r="B88" s="115" t="s">
        <v>359</v>
      </c>
      <c r="C88" s="193" t="s">
        <v>360</v>
      </c>
      <c r="D88" s="193" t="str">
        <f t="shared" si="25"/>
        <v>张美平/张保平410402197208303522/410402196706113540</v>
      </c>
      <c r="E88" s="155" t="s">
        <v>361</v>
      </c>
      <c r="F88" s="115"/>
      <c r="G88" s="115">
        <v>3</v>
      </c>
      <c r="H88" s="115">
        <v>3</v>
      </c>
      <c r="I88" s="115">
        <v>14</v>
      </c>
      <c r="J88" s="115">
        <v>1410</v>
      </c>
      <c r="K88" s="115">
        <v>63</v>
      </c>
      <c r="L88" s="115">
        <v>20000</v>
      </c>
      <c r="M88" s="115"/>
      <c r="N88" s="115"/>
      <c r="O88" s="431">
        <v>9132.86</v>
      </c>
      <c r="P88" s="115">
        <f>ROUND(O88*K88,0)</f>
        <v>575370</v>
      </c>
      <c r="Q88" s="115" t="s">
        <v>56</v>
      </c>
      <c r="R88" s="115">
        <v>575370</v>
      </c>
      <c r="S88" s="115" t="s">
        <v>47</v>
      </c>
      <c r="T88" s="115"/>
      <c r="U88" s="115"/>
      <c r="V88" s="115"/>
      <c r="W88" s="115">
        <v>4095</v>
      </c>
      <c r="X88" s="115">
        <v>560</v>
      </c>
      <c r="Y88" s="115" t="s">
        <v>48</v>
      </c>
      <c r="Z88" s="115"/>
      <c r="AA88" s="115"/>
      <c r="AB88" s="115"/>
      <c r="AC88" s="115"/>
      <c r="AD88" s="115"/>
      <c r="AE88" s="115"/>
      <c r="AF88" s="291"/>
      <c r="AG88" s="246">
        <v>44022</v>
      </c>
      <c r="AH88" s="133"/>
      <c r="AI88" s="132">
        <f t="shared" si="22"/>
        <v>580025</v>
      </c>
      <c r="AJ88" s="132">
        <f t="shared" si="23"/>
        <v>580025</v>
      </c>
      <c r="AK88" s="132">
        <f t="shared" si="24"/>
        <v>0</v>
      </c>
      <c r="AL88" s="176"/>
      <c r="AM88" s="133"/>
      <c r="AN88" s="246">
        <v>44841</v>
      </c>
      <c r="AO88" s="259"/>
    </row>
    <row r="89" s="187" customFormat="1" customHeight="1" spans="1:41">
      <c r="A89" s="115" t="s">
        <v>362</v>
      </c>
      <c r="B89" s="115" t="s">
        <v>363</v>
      </c>
      <c r="C89" s="193" t="s">
        <v>364</v>
      </c>
      <c r="D89" s="193" t="str">
        <f t="shared" si="25"/>
        <v>杨保强412928197106083234</v>
      </c>
      <c r="E89" s="155">
        <v>13598032957</v>
      </c>
      <c r="F89" s="115"/>
      <c r="G89" s="115">
        <v>9</v>
      </c>
      <c r="H89" s="115">
        <v>3</v>
      </c>
      <c r="I89" s="115">
        <v>17</v>
      </c>
      <c r="J89" s="115">
        <v>1702</v>
      </c>
      <c r="K89" s="115">
        <v>99.56</v>
      </c>
      <c r="L89" s="115">
        <v>19570</v>
      </c>
      <c r="M89" s="115"/>
      <c r="N89" s="115"/>
      <c r="O89" s="431">
        <v>18591.5</v>
      </c>
      <c r="P89" s="115">
        <v>1850970</v>
      </c>
      <c r="Q89" s="115" t="s">
        <v>66</v>
      </c>
      <c r="R89" s="115">
        <v>560970</v>
      </c>
      <c r="S89" s="115"/>
      <c r="T89" s="115">
        <v>1290000</v>
      </c>
      <c r="U89" s="115"/>
      <c r="V89" s="115"/>
      <c r="W89" s="115"/>
      <c r="X89" s="115"/>
      <c r="Y89" s="115"/>
      <c r="Z89" s="115"/>
      <c r="AA89" s="115"/>
      <c r="AB89" s="115"/>
      <c r="AC89" s="115"/>
      <c r="AD89" s="115"/>
      <c r="AE89" s="115"/>
      <c r="AF89" s="291"/>
      <c r="AG89" s="246">
        <v>43135</v>
      </c>
      <c r="AH89" s="133">
        <f>AJ89</f>
        <v>560970</v>
      </c>
      <c r="AI89" s="132">
        <f t="shared" si="22"/>
        <v>560970</v>
      </c>
      <c r="AJ89" s="132">
        <f t="shared" si="23"/>
        <v>560970</v>
      </c>
      <c r="AK89" s="132">
        <f t="shared" si="24"/>
        <v>0</v>
      </c>
      <c r="AL89" s="176"/>
      <c r="AM89" s="133"/>
      <c r="AN89" s="246">
        <v>44841</v>
      </c>
      <c r="AO89" s="259"/>
    </row>
    <row r="90" s="187" customFormat="1" customHeight="1" spans="1:41">
      <c r="A90" s="115" t="s">
        <v>365</v>
      </c>
      <c r="B90" s="115" t="s">
        <v>366</v>
      </c>
      <c r="C90" s="193" t="s">
        <v>367</v>
      </c>
      <c r="D90" s="193" t="str">
        <f t="shared" si="25"/>
        <v>李强320311198203216430</v>
      </c>
      <c r="E90" s="155">
        <v>15333808699</v>
      </c>
      <c r="F90" s="115"/>
      <c r="G90" s="115">
        <v>9</v>
      </c>
      <c r="H90" s="115">
        <v>3</v>
      </c>
      <c r="I90" s="115">
        <v>20</v>
      </c>
      <c r="J90" s="115">
        <v>2004</v>
      </c>
      <c r="K90" s="115">
        <v>94.65</v>
      </c>
      <c r="L90" s="115">
        <v>8750</v>
      </c>
      <c r="M90" s="115"/>
      <c r="N90" s="115"/>
      <c r="O90" s="431">
        <v>8649.6</v>
      </c>
      <c r="P90" s="115">
        <v>818685</v>
      </c>
      <c r="Q90" s="115" t="s">
        <v>46</v>
      </c>
      <c r="R90" s="115">
        <v>418685</v>
      </c>
      <c r="S90" s="115"/>
      <c r="T90" s="115" t="s">
        <v>47</v>
      </c>
      <c r="U90" s="115"/>
      <c r="V90" s="115">
        <v>400000</v>
      </c>
      <c r="W90" s="115">
        <v>6152</v>
      </c>
      <c r="X90" s="115">
        <v>80</v>
      </c>
      <c r="Y90" s="115"/>
      <c r="Z90" s="115" t="s">
        <v>48</v>
      </c>
      <c r="AA90" s="115"/>
      <c r="AB90" s="115"/>
      <c r="AC90" s="115"/>
      <c r="AD90" s="115"/>
      <c r="AE90" s="115"/>
      <c r="AF90" s="291"/>
      <c r="AG90" s="246">
        <v>43095</v>
      </c>
      <c r="AH90" s="133">
        <f>W90+X90</f>
        <v>6232</v>
      </c>
      <c r="AI90" s="132">
        <f t="shared" si="22"/>
        <v>824917</v>
      </c>
      <c r="AJ90" s="132">
        <f t="shared" si="23"/>
        <v>824917</v>
      </c>
      <c r="AK90" s="132">
        <f t="shared" si="24"/>
        <v>0</v>
      </c>
      <c r="AL90" s="176" t="s">
        <v>368</v>
      </c>
      <c r="AM90" s="133"/>
      <c r="AN90" s="246">
        <v>44841</v>
      </c>
      <c r="AO90" s="259"/>
    </row>
    <row r="91" s="187" customFormat="1" customHeight="1" spans="1:41">
      <c r="A91" s="115" t="s">
        <v>369</v>
      </c>
      <c r="B91" s="115" t="s">
        <v>370</v>
      </c>
      <c r="C91" s="193" t="s">
        <v>371</v>
      </c>
      <c r="D91" s="193" t="str">
        <f t="shared" si="25"/>
        <v>刘梅410526196902183040</v>
      </c>
      <c r="E91" s="155">
        <v>18638608764</v>
      </c>
      <c r="F91" s="115"/>
      <c r="G91" s="115">
        <v>3</v>
      </c>
      <c r="H91" s="115"/>
      <c r="I91" s="115">
        <v>7</v>
      </c>
      <c r="J91" s="115">
        <v>712</v>
      </c>
      <c r="K91" s="115">
        <v>65.94</v>
      </c>
      <c r="L91" s="115">
        <v>20000</v>
      </c>
      <c r="M91" s="115"/>
      <c r="N91" s="115"/>
      <c r="O91" s="431">
        <v>8842.71</v>
      </c>
      <c r="P91" s="115">
        <v>583088</v>
      </c>
      <c r="Q91" s="115" t="s">
        <v>66</v>
      </c>
      <c r="R91" s="115">
        <v>295088</v>
      </c>
      <c r="S91" s="115"/>
      <c r="T91" s="115">
        <v>288000</v>
      </c>
      <c r="U91" s="115"/>
      <c r="V91" s="115"/>
      <c r="W91" s="115">
        <v>4286</v>
      </c>
      <c r="X91" s="115">
        <v>550</v>
      </c>
      <c r="Y91" s="115" t="s">
        <v>48</v>
      </c>
      <c r="Z91" s="115"/>
      <c r="AA91" s="115"/>
      <c r="AB91" s="115"/>
      <c r="AC91" s="115"/>
      <c r="AD91" s="115"/>
      <c r="AE91" s="115"/>
      <c r="AF91" s="291"/>
      <c r="AG91" s="246">
        <v>43189</v>
      </c>
      <c r="AH91" s="133">
        <f>AJ91</f>
        <v>299924</v>
      </c>
      <c r="AI91" s="132">
        <f t="shared" ref="AI91:AI100" si="27">R91+V91+W91+X91+AA91+AB91+AC91+AD91</f>
        <v>299924</v>
      </c>
      <c r="AJ91" s="132">
        <f t="shared" ref="AJ91:AJ100" si="28">R91+W91+V91+X91+AA91</f>
        <v>299924</v>
      </c>
      <c r="AK91" s="132">
        <f t="shared" ref="AK91:AK100" si="29">AI91-AJ91</f>
        <v>0</v>
      </c>
      <c r="AL91" s="176"/>
      <c r="AM91" s="133"/>
      <c r="AN91" s="246">
        <v>44841</v>
      </c>
      <c r="AO91" s="259"/>
    </row>
    <row r="92" s="187" customFormat="1" customHeight="1" spans="1:41">
      <c r="A92" s="115" t="s">
        <v>372</v>
      </c>
      <c r="B92" s="115" t="s">
        <v>373</v>
      </c>
      <c r="C92" s="193"/>
      <c r="D92" s="193" t="str">
        <f t="shared" si="25"/>
        <v>冯秋霞</v>
      </c>
      <c r="E92" s="155" t="s">
        <v>374</v>
      </c>
      <c r="F92" s="115"/>
      <c r="G92" s="115">
        <v>10</v>
      </c>
      <c r="H92" s="115">
        <v>2</v>
      </c>
      <c r="I92" s="115">
        <v>7</v>
      </c>
      <c r="J92" s="115">
        <v>706</v>
      </c>
      <c r="K92" s="115">
        <v>99.52</v>
      </c>
      <c r="L92" s="115">
        <v>9100</v>
      </c>
      <c r="M92" s="115"/>
      <c r="N92" s="115"/>
      <c r="O92" s="431">
        <v>9000</v>
      </c>
      <c r="P92" s="115">
        <v>895680</v>
      </c>
      <c r="Q92" s="115" t="s">
        <v>66</v>
      </c>
      <c r="R92" s="115">
        <v>285100</v>
      </c>
      <c r="S92" s="115"/>
      <c r="T92" s="115">
        <v>610580</v>
      </c>
      <c r="U92" s="115"/>
      <c r="V92" s="115"/>
      <c r="W92" s="115"/>
      <c r="X92" s="115"/>
      <c r="Y92" s="115"/>
      <c r="Z92" s="115"/>
      <c r="AA92" s="115"/>
      <c r="AB92" s="115"/>
      <c r="AC92" s="115"/>
      <c r="AD92" s="115"/>
      <c r="AE92" s="115" t="s">
        <v>123</v>
      </c>
      <c r="AF92" s="291" t="s">
        <v>160</v>
      </c>
      <c r="AG92" s="246">
        <v>42159</v>
      </c>
      <c r="AH92" s="133">
        <f>AJ92</f>
        <v>285100</v>
      </c>
      <c r="AI92" s="132">
        <f t="shared" si="27"/>
        <v>285100</v>
      </c>
      <c r="AJ92" s="132">
        <f t="shared" si="28"/>
        <v>285100</v>
      </c>
      <c r="AK92" s="132">
        <f t="shared" si="29"/>
        <v>0</v>
      </c>
      <c r="AL92" s="176"/>
      <c r="AM92" s="133"/>
      <c r="AN92" s="246">
        <v>44841</v>
      </c>
      <c r="AO92" s="259"/>
    </row>
    <row r="93" s="187" customFormat="1" customHeight="1" spans="1:41">
      <c r="A93" s="115" t="s">
        <v>375</v>
      </c>
      <c r="B93" s="115" t="s">
        <v>376</v>
      </c>
      <c r="C93" s="193" t="s">
        <v>377</v>
      </c>
      <c r="D93" s="193" t="str">
        <f t="shared" si="25"/>
        <v>韩云辉410105195803250027</v>
      </c>
      <c r="E93" s="155">
        <v>13526786655</v>
      </c>
      <c r="F93" s="115"/>
      <c r="G93" s="115">
        <v>10</v>
      </c>
      <c r="H93" s="115">
        <v>2</v>
      </c>
      <c r="I93" s="115">
        <v>15</v>
      </c>
      <c r="J93" s="115">
        <v>1505</v>
      </c>
      <c r="K93" s="115">
        <v>93.84</v>
      </c>
      <c r="L93" s="115">
        <v>8900</v>
      </c>
      <c r="M93" s="115"/>
      <c r="N93" s="115"/>
      <c r="O93" s="431">
        <v>8800</v>
      </c>
      <c r="P93" s="115">
        <v>825792</v>
      </c>
      <c r="Q93" s="115" t="s">
        <v>56</v>
      </c>
      <c r="R93" s="115">
        <v>825792</v>
      </c>
      <c r="S93" s="115"/>
      <c r="T93" s="115" t="s">
        <v>47</v>
      </c>
      <c r="U93" s="115"/>
      <c r="V93" s="115"/>
      <c r="W93" s="115">
        <v>6099</v>
      </c>
      <c r="X93" s="115">
        <v>80</v>
      </c>
      <c r="Y93" s="115" t="s">
        <v>48</v>
      </c>
      <c r="Z93" s="115"/>
      <c r="AA93" s="115"/>
      <c r="AB93" s="115"/>
      <c r="AC93" s="115"/>
      <c r="AD93" s="115"/>
      <c r="AE93" s="115"/>
      <c r="AF93" s="291"/>
      <c r="AG93" s="246">
        <v>43092</v>
      </c>
      <c r="AH93" s="133">
        <f>AJ93</f>
        <v>831971</v>
      </c>
      <c r="AI93" s="132">
        <f t="shared" si="27"/>
        <v>831971</v>
      </c>
      <c r="AJ93" s="132">
        <f t="shared" si="28"/>
        <v>831971</v>
      </c>
      <c r="AK93" s="132">
        <f t="shared" si="29"/>
        <v>0</v>
      </c>
      <c r="AL93" s="176" t="s">
        <v>378</v>
      </c>
      <c r="AM93" s="133"/>
      <c r="AN93" s="246">
        <v>44841</v>
      </c>
      <c r="AO93" s="259"/>
    </row>
    <row r="94" s="187" customFormat="1" customHeight="1" spans="1:41">
      <c r="A94" s="115" t="s">
        <v>379</v>
      </c>
      <c r="B94" s="115" t="s">
        <v>376</v>
      </c>
      <c r="C94" s="193" t="s">
        <v>380</v>
      </c>
      <c r="D94" s="193" t="str">
        <f t="shared" si="25"/>
        <v>韩云辉410105195803050027</v>
      </c>
      <c r="E94" s="155" t="s">
        <v>381</v>
      </c>
      <c r="F94" s="115"/>
      <c r="G94" s="115">
        <v>3</v>
      </c>
      <c r="H94" s="115"/>
      <c r="I94" s="115">
        <v>5</v>
      </c>
      <c r="J94" s="115">
        <v>506</v>
      </c>
      <c r="K94" s="115">
        <v>61.69</v>
      </c>
      <c r="L94" s="115">
        <v>20000</v>
      </c>
      <c r="M94" s="115"/>
      <c r="N94" s="115"/>
      <c r="O94" s="431">
        <v>8721.77</v>
      </c>
      <c r="P94" s="115">
        <v>538046</v>
      </c>
      <c r="Q94" s="115" t="s">
        <v>56</v>
      </c>
      <c r="R94" s="115">
        <v>538046</v>
      </c>
      <c r="S94" s="115"/>
      <c r="T94" s="115">
        <v>0</v>
      </c>
      <c r="U94" s="115"/>
      <c r="V94" s="115"/>
      <c r="W94" s="115">
        <v>4009</v>
      </c>
      <c r="X94" s="115">
        <v>550</v>
      </c>
      <c r="Y94" s="115" t="s">
        <v>48</v>
      </c>
      <c r="Z94" s="115"/>
      <c r="AA94" s="115"/>
      <c r="AB94" s="115"/>
      <c r="AC94" s="115"/>
      <c r="AD94" s="115"/>
      <c r="AE94" s="115"/>
      <c r="AF94" s="291"/>
      <c r="AG94" s="246">
        <v>43189</v>
      </c>
      <c r="AH94" s="133">
        <f>AJ94</f>
        <v>542605</v>
      </c>
      <c r="AI94" s="132">
        <f t="shared" si="27"/>
        <v>542605</v>
      </c>
      <c r="AJ94" s="132">
        <f t="shared" si="28"/>
        <v>542605</v>
      </c>
      <c r="AK94" s="132">
        <f t="shared" si="29"/>
        <v>0</v>
      </c>
      <c r="AL94" s="176" t="s">
        <v>378</v>
      </c>
      <c r="AM94" s="133"/>
      <c r="AN94" s="246">
        <v>44841</v>
      </c>
      <c r="AO94" s="259"/>
    </row>
    <row r="95" s="187" customFormat="1" customHeight="1" spans="1:41">
      <c r="A95" s="115" t="s">
        <v>382</v>
      </c>
      <c r="B95" s="115" t="s">
        <v>383</v>
      </c>
      <c r="C95" s="193" t="s">
        <v>384</v>
      </c>
      <c r="D95" s="193" t="str">
        <f t="shared" si="25"/>
        <v>申颖41010919750204244X</v>
      </c>
      <c r="E95" s="155" t="s">
        <v>385</v>
      </c>
      <c r="F95" s="115"/>
      <c r="G95" s="115">
        <v>3</v>
      </c>
      <c r="H95" s="115"/>
      <c r="I95" s="115">
        <v>22</v>
      </c>
      <c r="J95" s="115">
        <v>2225</v>
      </c>
      <c r="K95" s="115">
        <v>66.94</v>
      </c>
      <c r="L95" s="115">
        <v>30000</v>
      </c>
      <c r="M95" s="115"/>
      <c r="N95" s="115"/>
      <c r="O95" s="431">
        <v>15177.59</v>
      </c>
      <c r="P95" s="115">
        <v>1015988</v>
      </c>
      <c r="Q95" s="115" t="s">
        <v>66</v>
      </c>
      <c r="R95" s="115">
        <v>515988</v>
      </c>
      <c r="S95" s="115" t="s">
        <v>47</v>
      </c>
      <c r="T95" s="115"/>
      <c r="U95" s="115"/>
      <c r="V95" s="115">
        <v>500000</v>
      </c>
      <c r="W95" s="115">
        <v>4351</v>
      </c>
      <c r="X95" s="115">
        <v>550</v>
      </c>
      <c r="Y95" s="115" t="s">
        <v>48</v>
      </c>
      <c r="Z95" s="115"/>
      <c r="AA95" s="115"/>
      <c r="AB95" s="115"/>
      <c r="AC95" s="115"/>
      <c r="AD95" s="115"/>
      <c r="AE95" s="115"/>
      <c r="AF95" s="291"/>
      <c r="AG95" s="246">
        <v>43325</v>
      </c>
      <c r="AH95" s="133">
        <f>R95-150000</f>
        <v>365988</v>
      </c>
      <c r="AI95" s="132">
        <f t="shared" si="27"/>
        <v>1020889</v>
      </c>
      <c r="AJ95" s="132">
        <f t="shared" si="28"/>
        <v>1020889</v>
      </c>
      <c r="AK95" s="132">
        <f t="shared" si="29"/>
        <v>0</v>
      </c>
      <c r="AL95" s="176"/>
      <c r="AM95" s="133"/>
      <c r="AN95" s="246">
        <v>44841</v>
      </c>
      <c r="AO95" s="259"/>
    </row>
    <row r="96" s="187" customFormat="1" customHeight="1" spans="1:41">
      <c r="A96" s="115" t="s">
        <v>386</v>
      </c>
      <c r="B96" s="115" t="s">
        <v>387</v>
      </c>
      <c r="C96" s="193"/>
      <c r="D96" s="193" t="str">
        <f t="shared" si="25"/>
        <v>桑香珍</v>
      </c>
      <c r="E96" s="155"/>
      <c r="F96" s="115"/>
      <c r="G96" s="115">
        <v>10</v>
      </c>
      <c r="H96" s="115" t="s">
        <v>388</v>
      </c>
      <c r="I96" s="115"/>
      <c r="J96" s="115">
        <v>2508</v>
      </c>
      <c r="K96" s="115">
        <v>94.61</v>
      </c>
      <c r="L96" s="115"/>
      <c r="M96" s="115"/>
      <c r="N96" s="115"/>
      <c r="O96" s="431"/>
      <c r="P96" s="115">
        <v>1797590</v>
      </c>
      <c r="Q96" s="115"/>
      <c r="R96" s="115">
        <v>1797590</v>
      </c>
      <c r="S96" s="115"/>
      <c r="T96" s="115"/>
      <c r="U96" s="115"/>
      <c r="V96" s="115"/>
      <c r="W96" s="115"/>
      <c r="X96" s="115"/>
      <c r="Y96" s="115"/>
      <c r="Z96" s="115"/>
      <c r="AA96" s="115"/>
      <c r="AB96" s="115"/>
      <c r="AC96" s="115"/>
      <c r="AD96" s="115"/>
      <c r="AE96" s="115"/>
      <c r="AF96" s="291"/>
      <c r="AG96" s="246"/>
      <c r="AH96" s="133"/>
      <c r="AI96" s="132">
        <f t="shared" si="27"/>
        <v>1797590</v>
      </c>
      <c r="AJ96" s="132">
        <f t="shared" si="28"/>
        <v>1797590</v>
      </c>
      <c r="AK96" s="132">
        <f t="shared" si="29"/>
        <v>0</v>
      </c>
      <c r="AL96" s="176" t="s">
        <v>389</v>
      </c>
      <c r="AM96" s="133"/>
      <c r="AN96" s="246">
        <v>44841</v>
      </c>
      <c r="AO96" s="259"/>
    </row>
    <row r="97" s="187" customFormat="1" customHeight="1" spans="1:41">
      <c r="A97" s="115" t="s">
        <v>390</v>
      </c>
      <c r="B97" s="115" t="s">
        <v>391</v>
      </c>
      <c r="C97" s="193"/>
      <c r="D97" s="193" t="str">
        <f t="shared" si="25"/>
        <v>康志霞</v>
      </c>
      <c r="E97" s="155"/>
      <c r="F97" s="115"/>
      <c r="G97" s="115">
        <v>10</v>
      </c>
      <c r="H97" s="115" t="s">
        <v>388</v>
      </c>
      <c r="I97" s="115"/>
      <c r="J97" s="115">
        <v>1508</v>
      </c>
      <c r="K97" s="115">
        <v>94.61</v>
      </c>
      <c r="L97" s="115"/>
      <c r="M97" s="115"/>
      <c r="N97" s="115"/>
      <c r="O97" s="431"/>
      <c r="P97" s="115">
        <v>1797590</v>
      </c>
      <c r="Q97" s="115"/>
      <c r="R97" s="115">
        <v>1797590</v>
      </c>
      <c r="S97" s="115"/>
      <c r="T97" s="115"/>
      <c r="U97" s="115"/>
      <c r="V97" s="115"/>
      <c r="W97" s="115"/>
      <c r="X97" s="115"/>
      <c r="Y97" s="115"/>
      <c r="Z97" s="115"/>
      <c r="AA97" s="115"/>
      <c r="AB97" s="115"/>
      <c r="AC97" s="115"/>
      <c r="AD97" s="115"/>
      <c r="AE97" s="115"/>
      <c r="AF97" s="291"/>
      <c r="AG97" s="246"/>
      <c r="AH97" s="133"/>
      <c r="AI97" s="132">
        <f t="shared" si="27"/>
        <v>1797590</v>
      </c>
      <c r="AJ97" s="132">
        <f t="shared" si="28"/>
        <v>1797590</v>
      </c>
      <c r="AK97" s="132">
        <f t="shared" si="29"/>
        <v>0</v>
      </c>
      <c r="AL97" s="176" t="s">
        <v>392</v>
      </c>
      <c r="AM97" s="133"/>
      <c r="AN97" s="246">
        <v>44841</v>
      </c>
      <c r="AO97" s="259"/>
    </row>
    <row r="98" s="187" customFormat="1" customHeight="1" spans="1:41">
      <c r="A98" s="115" t="s">
        <v>393</v>
      </c>
      <c r="B98" s="115" t="s">
        <v>394</v>
      </c>
      <c r="C98" s="193" t="s">
        <v>395</v>
      </c>
      <c r="D98" s="193" t="str">
        <f t="shared" si="25"/>
        <v>杨斐410882198610117523</v>
      </c>
      <c r="E98" s="155" t="s">
        <v>396</v>
      </c>
      <c r="F98" s="115"/>
      <c r="G98" s="115">
        <v>11</v>
      </c>
      <c r="H98" s="115">
        <v>3</v>
      </c>
      <c r="I98" s="115">
        <v>21</v>
      </c>
      <c r="J98" s="115">
        <v>2102</v>
      </c>
      <c r="K98" s="115">
        <v>95.81</v>
      </c>
      <c r="L98" s="115">
        <v>19970</v>
      </c>
      <c r="M98" s="115"/>
      <c r="N98" s="115"/>
      <c r="O98" s="431">
        <v>16000</v>
      </c>
      <c r="P98" s="115">
        <v>1532960</v>
      </c>
      <c r="Q98" s="115" t="s">
        <v>56</v>
      </c>
      <c r="R98" s="115">
        <v>1532960</v>
      </c>
      <c r="S98" s="115" t="s">
        <v>47</v>
      </c>
      <c r="T98" s="115"/>
      <c r="U98" s="115"/>
      <c r="V98" s="115"/>
      <c r="W98" s="115">
        <v>6227</v>
      </c>
      <c r="X98" s="115">
        <v>80</v>
      </c>
      <c r="Y98" s="115" t="s">
        <v>48</v>
      </c>
      <c r="Z98" s="115"/>
      <c r="AA98" s="115"/>
      <c r="AB98" s="115"/>
      <c r="AC98" s="115"/>
      <c r="AD98" s="115"/>
      <c r="AE98" s="115"/>
      <c r="AF98" s="291"/>
      <c r="AG98" s="246">
        <v>43218</v>
      </c>
      <c r="AH98" s="133">
        <v>6307</v>
      </c>
      <c r="AI98" s="132">
        <f t="shared" si="27"/>
        <v>1539267</v>
      </c>
      <c r="AJ98" s="132">
        <f t="shared" si="28"/>
        <v>1539267</v>
      </c>
      <c r="AK98" s="132">
        <f t="shared" si="29"/>
        <v>0</v>
      </c>
      <c r="AL98" s="176"/>
      <c r="AM98" s="133"/>
      <c r="AN98" s="246">
        <v>44841</v>
      </c>
      <c r="AO98" s="259"/>
    </row>
    <row r="99" s="187" customFormat="1" customHeight="1" spans="1:41">
      <c r="A99" s="115" t="s">
        <v>397</v>
      </c>
      <c r="B99" s="115" t="s">
        <v>398</v>
      </c>
      <c r="C99" s="193" t="s">
        <v>399</v>
      </c>
      <c r="D99" s="193" t="str">
        <f t="shared" si="25"/>
        <v>李利晖410381198205010542</v>
      </c>
      <c r="E99" s="155">
        <v>13838883533</v>
      </c>
      <c r="F99" s="115"/>
      <c r="G99" s="115">
        <v>3</v>
      </c>
      <c r="H99" s="115">
        <v>3</v>
      </c>
      <c r="I99" s="115">
        <v>14</v>
      </c>
      <c r="J99" s="115">
        <v>1401</v>
      </c>
      <c r="K99" s="115">
        <v>68.05</v>
      </c>
      <c r="L99" s="115">
        <v>20000</v>
      </c>
      <c r="M99" s="115"/>
      <c r="N99" s="115"/>
      <c r="O99" s="431">
        <v>9217.38</v>
      </c>
      <c r="P99" s="115">
        <v>627243</v>
      </c>
      <c r="Q99" s="115" t="s">
        <v>66</v>
      </c>
      <c r="R99" s="115">
        <v>314243</v>
      </c>
      <c r="S99" s="115"/>
      <c r="T99" s="115">
        <v>313000</v>
      </c>
      <c r="U99" s="115"/>
      <c r="V99" s="115"/>
      <c r="W99" s="115">
        <v>4423</v>
      </c>
      <c r="X99" s="115">
        <v>550</v>
      </c>
      <c r="Y99" s="115" t="s">
        <v>48</v>
      </c>
      <c r="Z99" s="115"/>
      <c r="AA99" s="115"/>
      <c r="AB99" s="115"/>
      <c r="AC99" s="115"/>
      <c r="AD99" s="115"/>
      <c r="AE99" s="115"/>
      <c r="AF99" s="291"/>
      <c r="AG99" s="246">
        <v>43068</v>
      </c>
      <c r="AH99" s="133">
        <v>319216</v>
      </c>
      <c r="AI99" s="132">
        <f t="shared" si="27"/>
        <v>319216</v>
      </c>
      <c r="AJ99" s="132">
        <f t="shared" si="28"/>
        <v>319216</v>
      </c>
      <c r="AK99" s="132">
        <f t="shared" si="29"/>
        <v>0</v>
      </c>
      <c r="AL99" s="176" t="s">
        <v>400</v>
      </c>
      <c r="AM99" s="133"/>
      <c r="AN99" s="246">
        <v>44841</v>
      </c>
      <c r="AO99" s="259"/>
    </row>
    <row r="100" s="187" customFormat="1" customHeight="1" spans="1:41">
      <c r="A100" s="115" t="s">
        <v>401</v>
      </c>
      <c r="B100" s="115" t="s">
        <v>402</v>
      </c>
      <c r="C100" s="193" t="s">
        <v>403</v>
      </c>
      <c r="D100" s="193" t="str">
        <f t="shared" si="25"/>
        <v>安世红412323196507120033</v>
      </c>
      <c r="E100" s="155">
        <v>15538311519</v>
      </c>
      <c r="F100" s="115"/>
      <c r="G100" s="115">
        <v>3</v>
      </c>
      <c r="H100" s="115">
        <v>3</v>
      </c>
      <c r="I100" s="115">
        <v>15</v>
      </c>
      <c r="J100" s="115">
        <v>1524</v>
      </c>
      <c r="K100" s="115">
        <v>58.01</v>
      </c>
      <c r="L100" s="115">
        <v>20000</v>
      </c>
      <c r="M100" s="115"/>
      <c r="N100" s="115"/>
      <c r="O100" s="431">
        <v>11489.95</v>
      </c>
      <c r="P100" s="115">
        <v>666532</v>
      </c>
      <c r="Q100" s="115" t="s">
        <v>66</v>
      </c>
      <c r="R100" s="115">
        <v>336532</v>
      </c>
      <c r="S100" s="115"/>
      <c r="T100" s="115" t="s">
        <v>47</v>
      </c>
      <c r="U100" s="115"/>
      <c r="V100" s="115">
        <v>330000</v>
      </c>
      <c r="W100" s="115">
        <v>3770</v>
      </c>
      <c r="X100" s="115">
        <v>550</v>
      </c>
      <c r="Y100" s="115" t="s">
        <v>48</v>
      </c>
      <c r="Z100" s="115"/>
      <c r="AA100" s="115"/>
      <c r="AB100" s="115">
        <v>1583</v>
      </c>
      <c r="AC100" s="115"/>
      <c r="AD100" s="115"/>
      <c r="AE100" s="115"/>
      <c r="AF100" s="291"/>
      <c r="AG100" s="246">
        <v>43067</v>
      </c>
      <c r="AH100" s="133">
        <v>340852</v>
      </c>
      <c r="AI100" s="132">
        <f t="shared" si="27"/>
        <v>672435</v>
      </c>
      <c r="AJ100" s="132">
        <f t="shared" si="28"/>
        <v>670852</v>
      </c>
      <c r="AK100" s="132">
        <f t="shared" si="29"/>
        <v>1583</v>
      </c>
      <c r="AL100" s="176"/>
      <c r="AM100" s="133"/>
      <c r="AN100" s="246">
        <v>44841</v>
      </c>
      <c r="AO100" s="259"/>
    </row>
    <row r="101" s="187" customFormat="1" customHeight="1" spans="1:41">
      <c r="A101" s="115" t="s">
        <v>404</v>
      </c>
      <c r="B101" s="115" t="s">
        <v>405</v>
      </c>
      <c r="C101" s="193" t="s">
        <v>406</v>
      </c>
      <c r="D101" s="193" t="str">
        <f t="shared" si="25"/>
        <v>栗伟丽410105197004091049</v>
      </c>
      <c r="E101" s="155">
        <v>13838068693</v>
      </c>
      <c r="F101" s="115"/>
      <c r="G101" s="115">
        <v>3</v>
      </c>
      <c r="H101" s="115">
        <v>3</v>
      </c>
      <c r="I101" s="115">
        <v>11</v>
      </c>
      <c r="J101" s="115">
        <v>1111</v>
      </c>
      <c r="K101" s="115">
        <v>64.5</v>
      </c>
      <c r="L101" s="115">
        <v>20000</v>
      </c>
      <c r="M101" s="115"/>
      <c r="N101" s="115"/>
      <c r="O101" s="431">
        <v>9053.69392416357</v>
      </c>
      <c r="P101" s="115">
        <v>583963</v>
      </c>
      <c r="Q101" s="115" t="s">
        <v>56</v>
      </c>
      <c r="R101" s="115">
        <v>583963</v>
      </c>
      <c r="S101" s="115"/>
      <c r="T101" s="115" t="s">
        <v>47</v>
      </c>
      <c r="U101" s="115"/>
      <c r="V101" s="115"/>
      <c r="W101" s="115">
        <v>4192</v>
      </c>
      <c r="X101" s="115">
        <v>550</v>
      </c>
      <c r="Y101" s="115" t="s">
        <v>48</v>
      </c>
      <c r="Z101" s="115"/>
      <c r="AA101" s="115"/>
      <c r="AB101" s="115"/>
      <c r="AC101" s="115"/>
      <c r="AD101" s="115"/>
      <c r="AE101" s="115"/>
      <c r="AF101" s="291"/>
      <c r="AG101" s="246">
        <v>43313</v>
      </c>
      <c r="AH101" s="133">
        <v>4742</v>
      </c>
      <c r="AI101" s="132">
        <f t="shared" ref="AI101:AI106" si="30">R101+V101+W101+X101+AA101+AB101+AC101+AD101</f>
        <v>588705</v>
      </c>
      <c r="AJ101" s="132">
        <f t="shared" ref="AJ101:AJ106" si="31">R101+W101+V101+X101+AA101</f>
        <v>588705</v>
      </c>
      <c r="AK101" s="132">
        <f t="shared" ref="AK101:AK106" si="32">AI101-AJ101</f>
        <v>0</v>
      </c>
      <c r="AL101" s="176"/>
      <c r="AM101" s="133"/>
      <c r="AN101" s="246">
        <v>44841</v>
      </c>
      <c r="AO101" s="259"/>
    </row>
    <row r="102" s="187" customFormat="1" customHeight="1" spans="1:41">
      <c r="A102" s="115" t="s">
        <v>407</v>
      </c>
      <c r="B102" s="115" t="s">
        <v>408</v>
      </c>
      <c r="C102" s="193" t="s">
        <v>409</v>
      </c>
      <c r="D102" s="193" t="str">
        <f t="shared" si="25"/>
        <v>张师振/杜艳玲410711197212270917</v>
      </c>
      <c r="E102" s="155">
        <v>15038356498</v>
      </c>
      <c r="F102" s="115"/>
      <c r="G102" s="115">
        <v>3</v>
      </c>
      <c r="H102" s="115">
        <v>3</v>
      </c>
      <c r="I102" s="115">
        <v>15</v>
      </c>
      <c r="J102" s="115">
        <v>1531</v>
      </c>
      <c r="K102" s="115">
        <v>56.44</v>
      </c>
      <c r="L102" s="115">
        <v>20000</v>
      </c>
      <c r="M102" s="115"/>
      <c r="N102" s="115"/>
      <c r="O102" s="431">
        <v>12700</v>
      </c>
      <c r="P102" s="115">
        <v>716788</v>
      </c>
      <c r="Q102" s="115" t="s">
        <v>56</v>
      </c>
      <c r="R102" s="115">
        <v>716788</v>
      </c>
      <c r="S102" s="115"/>
      <c r="T102" s="115" t="s">
        <v>47</v>
      </c>
      <c r="U102" s="115"/>
      <c r="V102" s="115"/>
      <c r="W102" s="115">
        <v>3668</v>
      </c>
      <c r="X102" s="115">
        <v>560</v>
      </c>
      <c r="Y102" s="115" t="s">
        <v>48</v>
      </c>
      <c r="Z102" s="115"/>
      <c r="AA102" s="115"/>
      <c r="AB102" s="115"/>
      <c r="AC102" s="115"/>
      <c r="AD102" s="115"/>
      <c r="AE102" s="115"/>
      <c r="AF102" s="291"/>
      <c r="AG102" s="246">
        <v>42806</v>
      </c>
      <c r="AH102" s="133">
        <f>AJ102</f>
        <v>721016</v>
      </c>
      <c r="AI102" s="132">
        <f t="shared" si="30"/>
        <v>721016</v>
      </c>
      <c r="AJ102" s="132">
        <f t="shared" si="31"/>
        <v>721016</v>
      </c>
      <c r="AK102" s="132">
        <f t="shared" si="32"/>
        <v>0</v>
      </c>
      <c r="AL102" s="176"/>
      <c r="AM102" s="133"/>
      <c r="AN102" s="246">
        <v>44841</v>
      </c>
      <c r="AO102" s="259"/>
    </row>
    <row r="103" s="187" customFormat="1" customHeight="1" spans="1:41">
      <c r="A103" s="115" t="s">
        <v>410</v>
      </c>
      <c r="B103" s="115" t="s">
        <v>411</v>
      </c>
      <c r="C103" s="193" t="s">
        <v>412</v>
      </c>
      <c r="D103" s="193" t="str">
        <f t="shared" si="25"/>
        <v>李爱琴412721199802140021</v>
      </c>
      <c r="E103" s="155" t="s">
        <v>413</v>
      </c>
      <c r="F103" s="115"/>
      <c r="G103" s="115">
        <v>3</v>
      </c>
      <c r="H103" s="115">
        <v>3</v>
      </c>
      <c r="I103" s="115">
        <v>19</v>
      </c>
      <c r="J103" s="115">
        <v>1935</v>
      </c>
      <c r="K103" s="115">
        <v>55.18</v>
      </c>
      <c r="L103" s="115">
        <v>20000</v>
      </c>
      <c r="M103" s="115"/>
      <c r="N103" s="115"/>
      <c r="O103" s="431">
        <v>10000</v>
      </c>
      <c r="P103" s="115">
        <v>551800</v>
      </c>
      <c r="Q103" s="115" t="s">
        <v>56</v>
      </c>
      <c r="R103" s="115">
        <v>551800</v>
      </c>
      <c r="S103" s="115"/>
      <c r="T103" s="115" t="s">
        <v>47</v>
      </c>
      <c r="U103" s="115"/>
      <c r="V103" s="115"/>
      <c r="W103" s="115">
        <v>3586</v>
      </c>
      <c r="X103" s="115">
        <v>550</v>
      </c>
      <c r="Y103" s="115" t="s">
        <v>48</v>
      </c>
      <c r="Z103" s="115"/>
      <c r="AA103" s="115"/>
      <c r="AB103" s="115"/>
      <c r="AC103" s="115">
        <v>519614</v>
      </c>
      <c r="AD103" s="115"/>
      <c r="AE103" s="115"/>
      <c r="AF103" s="291"/>
      <c r="AG103" s="246">
        <v>43981</v>
      </c>
      <c r="AH103" s="133">
        <v>715936</v>
      </c>
      <c r="AI103" s="132">
        <f t="shared" si="30"/>
        <v>1075550</v>
      </c>
      <c r="AJ103" s="132">
        <f t="shared" si="31"/>
        <v>555936</v>
      </c>
      <c r="AK103" s="132">
        <f t="shared" si="32"/>
        <v>519614</v>
      </c>
      <c r="AL103" s="176"/>
      <c r="AM103" s="133"/>
      <c r="AN103" s="246">
        <v>44841</v>
      </c>
      <c r="AO103" s="259"/>
    </row>
    <row r="104" s="187" customFormat="1" customHeight="1" spans="1:41">
      <c r="A104" s="115" t="s">
        <v>414</v>
      </c>
      <c r="B104" s="115" t="s">
        <v>415</v>
      </c>
      <c r="C104" s="193" t="s">
        <v>416</v>
      </c>
      <c r="D104" s="193" t="str">
        <f t="shared" si="25"/>
        <v>丁春兰412725197407204220</v>
      </c>
      <c r="E104" s="155" t="s">
        <v>417</v>
      </c>
      <c r="F104" s="115"/>
      <c r="G104" s="115">
        <v>3</v>
      </c>
      <c r="H104" s="115">
        <v>3</v>
      </c>
      <c r="I104" s="115">
        <v>7</v>
      </c>
      <c r="J104" s="115">
        <v>727</v>
      </c>
      <c r="K104" s="115">
        <v>58.41</v>
      </c>
      <c r="L104" s="115">
        <v>20000</v>
      </c>
      <c r="M104" s="115"/>
      <c r="N104" s="115"/>
      <c r="O104" s="431">
        <v>9505.61</v>
      </c>
      <c r="P104" s="115">
        <v>555223</v>
      </c>
      <c r="Q104" s="115" t="s">
        <v>56</v>
      </c>
      <c r="R104" s="115">
        <v>555223</v>
      </c>
      <c r="S104" s="115"/>
      <c r="T104" s="115" t="s">
        <v>47</v>
      </c>
      <c r="U104" s="115"/>
      <c r="V104" s="115"/>
      <c r="W104" s="115">
        <v>3796</v>
      </c>
      <c r="X104" s="115">
        <v>550</v>
      </c>
      <c r="Y104" s="115" t="s">
        <v>48</v>
      </c>
      <c r="Z104" s="115"/>
      <c r="AA104" s="115"/>
      <c r="AB104" s="115"/>
      <c r="AC104" s="115"/>
      <c r="AD104" s="115"/>
      <c r="AE104" s="115"/>
      <c r="AF104" s="291"/>
      <c r="AG104" s="246">
        <v>43321</v>
      </c>
      <c r="AH104" s="133">
        <f>AJ104</f>
        <v>559569</v>
      </c>
      <c r="AI104" s="132">
        <f t="shared" si="30"/>
        <v>559569</v>
      </c>
      <c r="AJ104" s="132">
        <f t="shared" si="31"/>
        <v>559569</v>
      </c>
      <c r="AK104" s="132">
        <f t="shared" si="32"/>
        <v>0</v>
      </c>
      <c r="AL104" s="176"/>
      <c r="AM104" s="133"/>
      <c r="AN104" s="246">
        <v>44841</v>
      </c>
      <c r="AO104" s="259"/>
    </row>
    <row r="105" s="187" customFormat="1" customHeight="1" spans="1:41">
      <c r="A105" s="115" t="s">
        <v>418</v>
      </c>
      <c r="B105" s="115" t="s">
        <v>419</v>
      </c>
      <c r="C105" s="193" t="s">
        <v>420</v>
      </c>
      <c r="D105" s="193" t="str">
        <f t="shared" si="25"/>
        <v>刘好修410105195508152774</v>
      </c>
      <c r="E105" s="155" t="s">
        <v>421</v>
      </c>
      <c r="F105" s="115"/>
      <c r="G105" s="115">
        <v>3</v>
      </c>
      <c r="H105" s="115">
        <v>3</v>
      </c>
      <c r="I105" s="115">
        <v>10</v>
      </c>
      <c r="J105" s="115">
        <v>1033</v>
      </c>
      <c r="K105" s="115">
        <v>55.05</v>
      </c>
      <c r="L105" s="115">
        <v>20000</v>
      </c>
      <c r="M105" s="115"/>
      <c r="N105" s="115"/>
      <c r="O105" s="431">
        <v>10032.6</v>
      </c>
      <c r="P105" s="115">
        <v>552295</v>
      </c>
      <c r="Q105" s="115" t="s">
        <v>56</v>
      </c>
      <c r="R105" s="115">
        <v>552295</v>
      </c>
      <c r="S105" s="115"/>
      <c r="T105" s="115" t="s">
        <v>47</v>
      </c>
      <c r="U105" s="115"/>
      <c r="V105" s="115"/>
      <c r="W105" s="115">
        <v>3578</v>
      </c>
      <c r="X105" s="115">
        <v>550</v>
      </c>
      <c r="Y105" s="115" t="s">
        <v>48</v>
      </c>
      <c r="Z105" s="115"/>
      <c r="AA105" s="115"/>
      <c r="AB105" s="115"/>
      <c r="AC105" s="115"/>
      <c r="AD105" s="115"/>
      <c r="AE105" s="115" t="s">
        <v>123</v>
      </c>
      <c r="AF105" s="291"/>
      <c r="AG105" s="246">
        <v>43094</v>
      </c>
      <c r="AH105" s="133">
        <f>AJ105</f>
        <v>556423</v>
      </c>
      <c r="AI105" s="132">
        <f t="shared" si="30"/>
        <v>556423</v>
      </c>
      <c r="AJ105" s="132">
        <f t="shared" si="31"/>
        <v>556423</v>
      </c>
      <c r="AK105" s="132">
        <f t="shared" si="32"/>
        <v>0</v>
      </c>
      <c r="AL105" s="176"/>
      <c r="AM105" s="133"/>
      <c r="AN105" s="246">
        <v>44841</v>
      </c>
      <c r="AO105" s="259"/>
    </row>
    <row r="106" s="187" customFormat="1" customHeight="1" spans="1:41">
      <c r="A106" s="115" t="s">
        <v>422</v>
      </c>
      <c r="B106" s="115" t="s">
        <v>423</v>
      </c>
      <c r="C106" s="193" t="s">
        <v>424</v>
      </c>
      <c r="D106" s="193" t="str">
        <f t="shared" si="25"/>
        <v>白彩霞412701196012131025</v>
      </c>
      <c r="E106" s="155">
        <v>13183236629</v>
      </c>
      <c r="F106" s="115"/>
      <c r="G106" s="115">
        <v>3</v>
      </c>
      <c r="H106" s="115">
        <v>3</v>
      </c>
      <c r="I106" s="115">
        <v>12</v>
      </c>
      <c r="J106" s="115">
        <v>1229</v>
      </c>
      <c r="K106" s="115">
        <v>57.45</v>
      </c>
      <c r="L106" s="115">
        <v>20000</v>
      </c>
      <c r="M106" s="115"/>
      <c r="N106" s="115"/>
      <c r="O106" s="431">
        <v>9952.46</v>
      </c>
      <c r="P106" s="115">
        <v>571769</v>
      </c>
      <c r="Q106" s="115" t="s">
        <v>56</v>
      </c>
      <c r="R106" s="115">
        <v>571769</v>
      </c>
      <c r="S106" s="115"/>
      <c r="T106" s="115" t="s">
        <v>47</v>
      </c>
      <c r="U106" s="115"/>
      <c r="V106" s="115"/>
      <c r="W106" s="115">
        <v>3734</v>
      </c>
      <c r="X106" s="115">
        <v>550</v>
      </c>
      <c r="Y106" s="115" t="s">
        <v>48</v>
      </c>
      <c r="Z106" s="115"/>
      <c r="AA106" s="115"/>
      <c r="AB106" s="115"/>
      <c r="AC106" s="115"/>
      <c r="AD106" s="115"/>
      <c r="AE106" s="115" t="s">
        <v>123</v>
      </c>
      <c r="AF106" s="291"/>
      <c r="AG106" s="246">
        <v>43275</v>
      </c>
      <c r="AH106" s="133">
        <f>AJ106</f>
        <v>576053</v>
      </c>
      <c r="AI106" s="132">
        <f t="shared" si="30"/>
        <v>576053</v>
      </c>
      <c r="AJ106" s="132">
        <f t="shared" si="31"/>
        <v>576053</v>
      </c>
      <c r="AK106" s="132">
        <f t="shared" si="32"/>
        <v>0</v>
      </c>
      <c r="AL106" s="176"/>
      <c r="AM106" s="133"/>
      <c r="AN106" s="246">
        <v>44841</v>
      </c>
      <c r="AO106" s="259"/>
    </row>
    <row r="107" s="187" customFormat="1" customHeight="1" spans="1:41">
      <c r="A107" s="115" t="s">
        <v>425</v>
      </c>
      <c r="B107" s="115" t="s">
        <v>426</v>
      </c>
      <c r="C107" s="193" t="s">
        <v>427</v>
      </c>
      <c r="D107" s="193" t="str">
        <f t="shared" si="25"/>
        <v>巴伟410112196008124919</v>
      </c>
      <c r="E107" s="155">
        <v>18539966120</v>
      </c>
      <c r="F107" s="115"/>
      <c r="G107" s="115">
        <v>9</v>
      </c>
      <c r="H107" s="115">
        <v>3</v>
      </c>
      <c r="I107" s="115">
        <v>32</v>
      </c>
      <c r="J107" s="115">
        <v>3204</v>
      </c>
      <c r="K107" s="115">
        <v>94.65</v>
      </c>
      <c r="L107" s="115">
        <v>17900</v>
      </c>
      <c r="M107" s="115"/>
      <c r="N107" s="115"/>
      <c r="O107" s="431">
        <v>15000</v>
      </c>
      <c r="P107" s="115">
        <v>1419750</v>
      </c>
      <c r="Q107" s="115" t="s">
        <v>56</v>
      </c>
      <c r="R107" s="115">
        <v>1419750</v>
      </c>
      <c r="S107" s="115"/>
      <c r="T107" s="115" t="s">
        <v>47</v>
      </c>
      <c r="U107" s="115"/>
      <c r="V107" s="115"/>
      <c r="W107" s="115">
        <v>6152</v>
      </c>
      <c r="X107" s="115">
        <v>80</v>
      </c>
      <c r="Y107" s="115"/>
      <c r="Z107" s="115" t="s">
        <v>48</v>
      </c>
      <c r="AA107" s="115"/>
      <c r="AB107" s="115"/>
      <c r="AC107" s="115"/>
      <c r="AD107" s="115"/>
      <c r="AE107" s="115"/>
      <c r="AF107" s="291"/>
      <c r="AG107" s="246">
        <v>43169</v>
      </c>
      <c r="AH107" s="133">
        <v>6232</v>
      </c>
      <c r="AI107" s="132">
        <f t="shared" ref="AI107:AI115" si="33">R107+V107+W107+X107+AA107+AB107+AC107+AD107</f>
        <v>1425982</v>
      </c>
      <c r="AJ107" s="132">
        <f t="shared" ref="AJ107:AJ115" si="34">R107+W107+V107+X107+AA107</f>
        <v>1425982</v>
      </c>
      <c r="AK107" s="132">
        <f t="shared" ref="AK107:AK115" si="35">AI107-AJ107</f>
        <v>0</v>
      </c>
      <c r="AL107" s="176"/>
      <c r="AM107" s="133"/>
      <c r="AN107" s="246">
        <v>44841</v>
      </c>
      <c r="AO107" s="259"/>
    </row>
    <row r="108" s="187" customFormat="1" customHeight="1" spans="1:41">
      <c r="A108" s="115" t="s">
        <v>428</v>
      </c>
      <c r="B108" s="115" t="s">
        <v>429</v>
      </c>
      <c r="C108" s="193"/>
      <c r="D108" s="193" t="str">
        <f t="shared" si="25"/>
        <v>黄朝霞</v>
      </c>
      <c r="E108" s="155"/>
      <c r="F108" s="115"/>
      <c r="G108" s="115">
        <v>6</v>
      </c>
      <c r="H108" s="115">
        <v>1</v>
      </c>
      <c r="I108" s="115">
        <v>9</v>
      </c>
      <c r="J108" s="115">
        <v>907</v>
      </c>
      <c r="K108" s="115">
        <v>86.33</v>
      </c>
      <c r="L108" s="115">
        <v>10100</v>
      </c>
      <c r="M108" s="115"/>
      <c r="N108" s="115"/>
      <c r="O108" s="431">
        <v>10000</v>
      </c>
      <c r="P108" s="115">
        <v>863300</v>
      </c>
      <c r="Q108" s="115" t="s">
        <v>56</v>
      </c>
      <c r="R108" s="115">
        <v>892000</v>
      </c>
      <c r="S108" s="115"/>
      <c r="T108" s="115"/>
      <c r="U108" s="115"/>
      <c r="V108" s="115"/>
      <c r="W108" s="115"/>
      <c r="X108" s="115"/>
      <c r="Y108" s="115"/>
      <c r="Z108" s="115"/>
      <c r="AA108" s="115"/>
      <c r="AB108" s="115"/>
      <c r="AC108" s="115"/>
      <c r="AD108" s="115"/>
      <c r="AE108" s="115" t="s">
        <v>123</v>
      </c>
      <c r="AF108" s="291" t="s">
        <v>285</v>
      </c>
      <c r="AG108" s="246">
        <v>42853</v>
      </c>
      <c r="AH108" s="133">
        <f>AJ108</f>
        <v>892000</v>
      </c>
      <c r="AI108" s="132">
        <f t="shared" si="33"/>
        <v>892000</v>
      </c>
      <c r="AJ108" s="132">
        <f t="shared" si="34"/>
        <v>892000</v>
      </c>
      <c r="AK108" s="132">
        <f t="shared" si="35"/>
        <v>0</v>
      </c>
      <c r="AL108" s="176"/>
      <c r="AM108" s="133"/>
      <c r="AN108" s="246">
        <v>44841</v>
      </c>
      <c r="AO108" s="259"/>
    </row>
    <row r="109" s="187" customFormat="1" customHeight="1" spans="1:41">
      <c r="A109" s="115" t="s">
        <v>430</v>
      </c>
      <c r="B109" s="115" t="s">
        <v>431</v>
      </c>
      <c r="C109" s="193" t="s">
        <v>432</v>
      </c>
      <c r="D109" s="193" t="str">
        <f t="shared" si="25"/>
        <v>封雪萍、李建民410381196505134513</v>
      </c>
      <c r="E109" s="155">
        <v>15039057689</v>
      </c>
      <c r="F109" s="115"/>
      <c r="G109" s="115">
        <v>10</v>
      </c>
      <c r="H109" s="115">
        <v>2</v>
      </c>
      <c r="I109" s="115">
        <v>11</v>
      </c>
      <c r="J109" s="115">
        <v>1106</v>
      </c>
      <c r="K109" s="115">
        <v>99.52</v>
      </c>
      <c r="L109" s="115">
        <v>9100</v>
      </c>
      <c r="M109" s="115"/>
      <c r="N109" s="115"/>
      <c r="O109" s="431">
        <v>9000</v>
      </c>
      <c r="P109" s="115">
        <v>895680</v>
      </c>
      <c r="Q109" s="115" t="s">
        <v>66</v>
      </c>
      <c r="R109" s="115">
        <v>645680</v>
      </c>
      <c r="S109" s="115"/>
      <c r="T109" s="115">
        <v>250000</v>
      </c>
      <c r="U109" s="115"/>
      <c r="V109" s="115"/>
      <c r="W109" s="115">
        <v>6468</v>
      </c>
      <c r="X109" s="115">
        <v>90</v>
      </c>
      <c r="Y109" s="115" t="s">
        <v>48</v>
      </c>
      <c r="Z109" s="115"/>
      <c r="AA109" s="115"/>
      <c r="AB109" s="115"/>
      <c r="AC109" s="115"/>
      <c r="AD109" s="115"/>
      <c r="AE109" s="115"/>
      <c r="AF109" s="291"/>
      <c r="AG109" s="246">
        <v>44084</v>
      </c>
      <c r="AH109" s="133"/>
      <c r="AI109" s="132">
        <f t="shared" si="33"/>
        <v>652238</v>
      </c>
      <c r="AJ109" s="132">
        <f t="shared" si="34"/>
        <v>652238</v>
      </c>
      <c r="AK109" s="132">
        <f t="shared" si="35"/>
        <v>0</v>
      </c>
      <c r="AL109" s="176"/>
      <c r="AM109" s="133"/>
      <c r="AN109" s="246">
        <v>44841</v>
      </c>
      <c r="AO109" s="259"/>
    </row>
    <row r="110" s="187" customFormat="1" customHeight="1" spans="1:41">
      <c r="A110" s="115" t="s">
        <v>433</v>
      </c>
      <c r="B110" s="115" t="s">
        <v>434</v>
      </c>
      <c r="C110" s="193" t="s">
        <v>435</v>
      </c>
      <c r="D110" s="193" t="str">
        <f t="shared" si="25"/>
        <v>卢凯410103198302057019</v>
      </c>
      <c r="E110" s="155" t="s">
        <v>436</v>
      </c>
      <c r="F110" s="115"/>
      <c r="G110" s="115">
        <v>11</v>
      </c>
      <c r="H110" s="115">
        <v>3</v>
      </c>
      <c r="I110" s="115">
        <v>11</v>
      </c>
      <c r="J110" s="115">
        <v>1103</v>
      </c>
      <c r="K110" s="115">
        <v>151.44</v>
      </c>
      <c r="L110" s="115">
        <v>17900</v>
      </c>
      <c r="M110" s="115"/>
      <c r="N110" s="115"/>
      <c r="O110" s="431">
        <v>15000</v>
      </c>
      <c r="P110" s="115">
        <v>2271600</v>
      </c>
      <c r="Q110" s="115" t="s">
        <v>66</v>
      </c>
      <c r="R110" s="115">
        <v>1150050</v>
      </c>
      <c r="S110" s="115"/>
      <c r="T110" s="115">
        <v>1121550</v>
      </c>
      <c r="U110" s="115"/>
      <c r="V110" s="115"/>
      <c r="W110" s="115"/>
      <c r="X110" s="115"/>
      <c r="Y110" s="115"/>
      <c r="Z110" s="115"/>
      <c r="AA110" s="115"/>
      <c r="AB110" s="115"/>
      <c r="AC110" s="115"/>
      <c r="AD110" s="115"/>
      <c r="AE110" s="115" t="s">
        <v>123</v>
      </c>
      <c r="AF110" s="291" t="s">
        <v>437</v>
      </c>
      <c r="AG110" s="246">
        <v>42833</v>
      </c>
      <c r="AH110" s="133"/>
      <c r="AI110" s="132">
        <f t="shared" si="33"/>
        <v>1150050</v>
      </c>
      <c r="AJ110" s="132">
        <f t="shared" si="34"/>
        <v>1150050</v>
      </c>
      <c r="AK110" s="132">
        <f t="shared" si="35"/>
        <v>0</v>
      </c>
      <c r="AL110" s="176" t="s">
        <v>438</v>
      </c>
      <c r="AM110" s="133"/>
      <c r="AN110" s="246">
        <v>44841</v>
      </c>
      <c r="AO110" s="259"/>
    </row>
    <row r="111" s="187" customFormat="1" customHeight="1" spans="1:41">
      <c r="A111" s="115" t="s">
        <v>439</v>
      </c>
      <c r="B111" s="115" t="s">
        <v>440</v>
      </c>
      <c r="C111" s="193" t="s">
        <v>441</v>
      </c>
      <c r="D111" s="193" t="str">
        <f t="shared" si="25"/>
        <v>靳亮4101051987030300555</v>
      </c>
      <c r="E111" s="155" t="s">
        <v>442</v>
      </c>
      <c r="F111" s="115"/>
      <c r="G111" s="115">
        <v>11</v>
      </c>
      <c r="H111" s="115">
        <v>3</v>
      </c>
      <c r="I111" s="115">
        <v>30</v>
      </c>
      <c r="J111" s="115">
        <v>3003</v>
      </c>
      <c r="K111" s="115">
        <v>151.44</v>
      </c>
      <c r="L111" s="115">
        <v>10100</v>
      </c>
      <c r="M111" s="115"/>
      <c r="N111" s="115"/>
      <c r="O111" s="431">
        <v>10000</v>
      </c>
      <c r="P111" s="115">
        <v>1514400</v>
      </c>
      <c r="Q111" s="115" t="s">
        <v>66</v>
      </c>
      <c r="R111" s="115">
        <v>765450</v>
      </c>
      <c r="S111" s="115"/>
      <c r="T111" s="115">
        <v>748950</v>
      </c>
      <c r="U111" s="115"/>
      <c r="V111" s="115"/>
      <c r="W111" s="115"/>
      <c r="X111" s="115"/>
      <c r="Y111" s="115"/>
      <c r="Z111" s="115"/>
      <c r="AA111" s="115"/>
      <c r="AB111" s="115">
        <v>1160</v>
      </c>
      <c r="AC111" s="115"/>
      <c r="AD111" s="115"/>
      <c r="AE111" s="115"/>
      <c r="AF111" s="291"/>
      <c r="AG111" s="246">
        <v>42453</v>
      </c>
      <c r="AH111" s="133">
        <f>AJ111</f>
        <v>765450</v>
      </c>
      <c r="AI111" s="132">
        <f t="shared" si="33"/>
        <v>766610</v>
      </c>
      <c r="AJ111" s="132">
        <f t="shared" si="34"/>
        <v>765450</v>
      </c>
      <c r="AK111" s="132">
        <f t="shared" si="35"/>
        <v>1160</v>
      </c>
      <c r="AL111" s="176"/>
      <c r="AM111" s="133"/>
      <c r="AN111" s="246">
        <v>44841</v>
      </c>
      <c r="AO111" s="259"/>
    </row>
    <row r="112" s="187" customFormat="1" customHeight="1" spans="1:41">
      <c r="A112" s="115" t="s">
        <v>443</v>
      </c>
      <c r="B112" s="115" t="s">
        <v>444</v>
      </c>
      <c r="C112" s="193" t="s">
        <v>445</v>
      </c>
      <c r="D112" s="193" t="str">
        <f t="shared" si="25"/>
        <v>刘国雄410105199302210084</v>
      </c>
      <c r="E112" s="155">
        <v>15652511127</v>
      </c>
      <c r="F112" s="115"/>
      <c r="G112" s="115">
        <v>9</v>
      </c>
      <c r="H112" s="115">
        <v>3</v>
      </c>
      <c r="I112" s="115">
        <v>18</v>
      </c>
      <c r="J112" s="115">
        <v>1802</v>
      </c>
      <c r="K112" s="115">
        <v>99.56</v>
      </c>
      <c r="L112" s="115">
        <v>19570</v>
      </c>
      <c r="M112" s="115"/>
      <c r="N112" s="115"/>
      <c r="O112" s="431">
        <v>19155.81</v>
      </c>
      <c r="P112" s="115">
        <v>1907152</v>
      </c>
      <c r="Q112" s="115" t="s">
        <v>66</v>
      </c>
      <c r="R112" s="115">
        <v>917152</v>
      </c>
      <c r="S112" s="115"/>
      <c r="T112" s="115" t="s">
        <v>47</v>
      </c>
      <c r="U112" s="115"/>
      <c r="V112" s="115">
        <v>990000</v>
      </c>
      <c r="W112" s="115">
        <v>6471</v>
      </c>
      <c r="X112" s="115">
        <v>80</v>
      </c>
      <c r="Y112" s="115"/>
      <c r="Z112" s="115" t="s">
        <v>48</v>
      </c>
      <c r="AA112" s="115"/>
      <c r="AB112" s="115">
        <f>1433+5000</f>
        <v>6433</v>
      </c>
      <c r="AC112" s="115"/>
      <c r="AD112" s="115"/>
      <c r="AE112" s="115"/>
      <c r="AF112" s="291"/>
      <c r="AG112" s="246">
        <v>44020</v>
      </c>
      <c r="AH112" s="133"/>
      <c r="AI112" s="132">
        <f t="shared" si="33"/>
        <v>1920136</v>
      </c>
      <c r="AJ112" s="132">
        <f t="shared" si="34"/>
        <v>1913703</v>
      </c>
      <c r="AK112" s="132">
        <f t="shared" si="35"/>
        <v>6433</v>
      </c>
      <c r="AL112" s="176"/>
      <c r="AM112" s="133"/>
      <c r="AN112" s="246">
        <v>44841</v>
      </c>
      <c r="AO112" s="259"/>
    </row>
    <row r="113" s="187" customFormat="1" customHeight="1" spans="1:41">
      <c r="A113" s="115" t="s">
        <v>446</v>
      </c>
      <c r="B113" s="115" t="s">
        <v>447</v>
      </c>
      <c r="C113" s="193" t="s">
        <v>448</v>
      </c>
      <c r="D113" s="193" t="str">
        <f t="shared" si="25"/>
        <v>穆艳红412724198007042945</v>
      </c>
      <c r="E113" s="155" t="s">
        <v>449</v>
      </c>
      <c r="F113" s="115" t="s">
        <v>450</v>
      </c>
      <c r="G113" s="115">
        <v>3</v>
      </c>
      <c r="H113" s="115"/>
      <c r="I113" s="115">
        <v>8</v>
      </c>
      <c r="J113" s="115">
        <v>822</v>
      </c>
      <c r="K113" s="115">
        <v>64.29</v>
      </c>
      <c r="L113" s="115">
        <v>20000</v>
      </c>
      <c r="M113" s="115"/>
      <c r="N113" s="115"/>
      <c r="O113" s="431">
        <v>8850.21</v>
      </c>
      <c r="P113" s="115">
        <v>568980</v>
      </c>
      <c r="Q113" s="115" t="s">
        <v>66</v>
      </c>
      <c r="R113" s="115">
        <v>288980</v>
      </c>
      <c r="S113" s="115"/>
      <c r="T113" s="115">
        <v>280000</v>
      </c>
      <c r="U113" s="115"/>
      <c r="V113" s="115"/>
      <c r="W113" s="115">
        <v>4178</v>
      </c>
      <c r="X113" s="115">
        <v>550</v>
      </c>
      <c r="Y113" s="115"/>
      <c r="Z113" s="115"/>
      <c r="AA113" s="115"/>
      <c r="AB113" s="115"/>
      <c r="AC113" s="115"/>
      <c r="AD113" s="115"/>
      <c r="AE113" s="115"/>
      <c r="AF113" s="291"/>
      <c r="AG113" s="246">
        <v>43364</v>
      </c>
      <c r="AH113" s="133"/>
      <c r="AI113" s="132">
        <f t="shared" si="33"/>
        <v>293708</v>
      </c>
      <c r="AJ113" s="132">
        <f t="shared" si="34"/>
        <v>293708</v>
      </c>
      <c r="AK113" s="132">
        <f t="shared" si="35"/>
        <v>0</v>
      </c>
      <c r="AL113" s="176"/>
      <c r="AM113" s="133"/>
      <c r="AN113" s="246">
        <v>44841</v>
      </c>
      <c r="AO113" s="259"/>
    </row>
    <row r="114" s="187" customFormat="1" customHeight="1" spans="1:41">
      <c r="A114" s="115" t="s">
        <v>451</v>
      </c>
      <c r="B114" s="115" t="s">
        <v>452</v>
      </c>
      <c r="C114" s="546" t="s">
        <v>453</v>
      </c>
      <c r="D114" s="193" t="str">
        <f t="shared" si="25"/>
        <v>周帅411424198701180048</v>
      </c>
      <c r="E114" s="155" t="s">
        <v>454</v>
      </c>
      <c r="F114" s="115"/>
      <c r="G114" s="115">
        <v>10</v>
      </c>
      <c r="H114" s="115">
        <v>2</v>
      </c>
      <c r="I114" s="115">
        <v>18</v>
      </c>
      <c r="J114" s="115">
        <v>1807</v>
      </c>
      <c r="K114" s="115">
        <v>99.52</v>
      </c>
      <c r="L114" s="115">
        <v>19770</v>
      </c>
      <c r="M114" s="115"/>
      <c r="N114" s="115"/>
      <c r="O114" s="431">
        <v>12000</v>
      </c>
      <c r="P114" s="115">
        <v>1194240</v>
      </c>
      <c r="Q114" s="115" t="s">
        <v>46</v>
      </c>
      <c r="R114" s="115">
        <v>604240</v>
      </c>
      <c r="S114" s="115"/>
      <c r="T114" s="115" t="s">
        <v>47</v>
      </c>
      <c r="U114" s="115"/>
      <c r="V114" s="115">
        <v>590000</v>
      </c>
      <c r="W114" s="115">
        <v>6468</v>
      </c>
      <c r="X114" s="115">
        <v>90</v>
      </c>
      <c r="Y114" s="115" t="s">
        <v>48</v>
      </c>
      <c r="Z114" s="115"/>
      <c r="AA114" s="115"/>
      <c r="AB114" s="115"/>
      <c r="AC114" s="115"/>
      <c r="AD114" s="115"/>
      <c r="AE114" s="115"/>
      <c r="AF114" s="291"/>
      <c r="AG114" s="246">
        <v>44017</v>
      </c>
      <c r="AH114" s="133"/>
      <c r="AI114" s="132">
        <f t="shared" si="33"/>
        <v>1200798</v>
      </c>
      <c r="AJ114" s="132">
        <f t="shared" si="34"/>
        <v>1200798</v>
      </c>
      <c r="AK114" s="132">
        <f t="shared" si="35"/>
        <v>0</v>
      </c>
      <c r="AL114" s="176" t="s">
        <v>455</v>
      </c>
      <c r="AM114" s="133"/>
      <c r="AN114" s="246">
        <v>44841</v>
      </c>
      <c r="AO114" s="259"/>
    </row>
    <row r="115" s="187" customFormat="1" customHeight="1" spans="1:41">
      <c r="A115" s="115" t="s">
        <v>456</v>
      </c>
      <c r="B115" s="115" t="s">
        <v>457</v>
      </c>
      <c r="C115" s="193" t="s">
        <v>458</v>
      </c>
      <c r="D115" s="193" t="str">
        <f t="shared" si="25"/>
        <v>杨艳华410105197406302769</v>
      </c>
      <c r="E115" s="155">
        <v>13598089810</v>
      </c>
      <c r="F115" s="115"/>
      <c r="G115" s="115">
        <v>3</v>
      </c>
      <c r="H115" s="115"/>
      <c r="I115" s="115">
        <v>10</v>
      </c>
      <c r="J115" s="115">
        <v>1025</v>
      </c>
      <c r="K115" s="115">
        <v>66.94</v>
      </c>
      <c r="L115" s="115">
        <v>20000</v>
      </c>
      <c r="M115" s="115"/>
      <c r="N115" s="115"/>
      <c r="O115" s="431">
        <v>9107.72</v>
      </c>
      <c r="P115" s="115">
        <v>609671</v>
      </c>
      <c r="Q115" s="115" t="s">
        <v>56</v>
      </c>
      <c r="R115" s="115">
        <v>609671</v>
      </c>
      <c r="S115" s="115">
        <v>0</v>
      </c>
      <c r="T115" s="115">
        <v>0</v>
      </c>
      <c r="U115" s="115"/>
      <c r="V115" s="115"/>
      <c r="W115" s="115">
        <v>4351</v>
      </c>
      <c r="X115" s="115">
        <v>550</v>
      </c>
      <c r="Y115" s="115"/>
      <c r="Z115" s="115"/>
      <c r="AA115" s="115"/>
      <c r="AB115" s="115">
        <v>3000</v>
      </c>
      <c r="AC115" s="115"/>
      <c r="AD115" s="115"/>
      <c r="AE115" s="115"/>
      <c r="AF115" s="291"/>
      <c r="AG115" s="246">
        <v>43099</v>
      </c>
      <c r="AH115" s="133">
        <f>AJ115</f>
        <v>614572</v>
      </c>
      <c r="AI115" s="132">
        <f t="shared" si="33"/>
        <v>617572</v>
      </c>
      <c r="AJ115" s="132">
        <f t="shared" si="34"/>
        <v>614572</v>
      </c>
      <c r="AK115" s="132">
        <f t="shared" si="35"/>
        <v>3000</v>
      </c>
      <c r="AL115" s="176"/>
      <c r="AM115" s="133"/>
      <c r="AN115" s="246">
        <v>44841</v>
      </c>
      <c r="AO115" s="259"/>
    </row>
    <row r="116" s="187" customFormat="1" customHeight="1" spans="1:41">
      <c r="A116" s="115" t="s">
        <v>459</v>
      </c>
      <c r="B116" s="115" t="s">
        <v>460</v>
      </c>
      <c r="C116" s="193" t="s">
        <v>461</v>
      </c>
      <c r="D116" s="193" t="str">
        <f t="shared" si="25"/>
        <v>张小双410725197910071646</v>
      </c>
      <c r="E116" s="155">
        <v>15939031662</v>
      </c>
      <c r="F116" s="115"/>
      <c r="G116" s="115">
        <v>3</v>
      </c>
      <c r="H116" s="115"/>
      <c r="I116" s="115">
        <v>11</v>
      </c>
      <c r="J116" s="115">
        <v>1104</v>
      </c>
      <c r="K116" s="115">
        <v>56.57</v>
      </c>
      <c r="L116" s="115">
        <v>20000</v>
      </c>
      <c r="M116" s="115"/>
      <c r="N116" s="115"/>
      <c r="O116" s="431">
        <v>9470.34</v>
      </c>
      <c r="P116" s="115">
        <v>535737</v>
      </c>
      <c r="Q116" s="115" t="s">
        <v>66</v>
      </c>
      <c r="R116" s="115">
        <v>275737</v>
      </c>
      <c r="S116" s="115"/>
      <c r="T116" s="115">
        <v>260000</v>
      </c>
      <c r="U116" s="115"/>
      <c r="V116" s="115"/>
      <c r="W116" s="115">
        <v>3677</v>
      </c>
      <c r="X116" s="115">
        <v>550</v>
      </c>
      <c r="Y116" s="115"/>
      <c r="Z116" s="115"/>
      <c r="AA116" s="115"/>
      <c r="AB116" s="115">
        <v>1576</v>
      </c>
      <c r="AC116" s="115"/>
      <c r="AD116" s="115"/>
      <c r="AE116" s="115"/>
      <c r="AF116" s="291"/>
      <c r="AG116" s="246">
        <v>43068</v>
      </c>
      <c r="AH116" s="133">
        <f>AJ116</f>
        <v>279964</v>
      </c>
      <c r="AI116" s="132">
        <f t="shared" ref="AI116:AI121" si="36">R116+V116+W116+X116+AA116+AB116+AC116+AD116</f>
        <v>281540</v>
      </c>
      <c r="AJ116" s="132">
        <f t="shared" ref="AJ116:AJ121" si="37">R116+W116+V116+X116+AA116</f>
        <v>279964</v>
      </c>
      <c r="AK116" s="132">
        <f t="shared" ref="AK116:AK121" si="38">AI116-AJ116</f>
        <v>1576</v>
      </c>
      <c r="AL116" s="176"/>
      <c r="AM116" s="133"/>
      <c r="AN116" s="246">
        <v>44841</v>
      </c>
      <c r="AO116" s="259"/>
    </row>
    <row r="117" s="187" customFormat="1" customHeight="1" spans="1:41">
      <c r="A117" s="115" t="s">
        <v>462</v>
      </c>
      <c r="B117" s="115" t="s">
        <v>463</v>
      </c>
      <c r="C117" s="193" t="s">
        <v>464</v>
      </c>
      <c r="D117" s="193" t="str">
        <f t="shared" si="25"/>
        <v>庞艺纯412722199209048722</v>
      </c>
      <c r="E117" s="155" t="s">
        <v>465</v>
      </c>
      <c r="F117" s="115" t="s">
        <v>466</v>
      </c>
      <c r="G117" s="115">
        <v>11</v>
      </c>
      <c r="H117" s="115">
        <v>3</v>
      </c>
      <c r="I117" s="115">
        <v>19</v>
      </c>
      <c r="J117" s="115">
        <v>1902</v>
      </c>
      <c r="K117" s="115">
        <v>95.81</v>
      </c>
      <c r="L117" s="115">
        <v>19970</v>
      </c>
      <c r="M117" s="115"/>
      <c r="N117" s="115"/>
      <c r="O117" s="431">
        <v>19970</v>
      </c>
      <c r="P117" s="115">
        <v>1913326</v>
      </c>
      <c r="Q117" s="115" t="s">
        <v>66</v>
      </c>
      <c r="R117" s="115">
        <v>583326</v>
      </c>
      <c r="S117" s="440"/>
      <c r="T117" s="115">
        <v>1330000</v>
      </c>
      <c r="U117" s="115">
        <v>1330000</v>
      </c>
      <c r="V117" s="115"/>
      <c r="W117" s="115">
        <v>6227</v>
      </c>
      <c r="X117" s="115">
        <v>80</v>
      </c>
      <c r="Y117" s="115"/>
      <c r="Z117" s="115"/>
      <c r="AA117" s="115">
        <v>30000</v>
      </c>
      <c r="AB117" s="115"/>
      <c r="AC117" s="115"/>
      <c r="AD117" s="115"/>
      <c r="AE117" s="115" t="s">
        <v>123</v>
      </c>
      <c r="AF117" s="291"/>
      <c r="AG117" s="246">
        <v>43417</v>
      </c>
      <c r="AH117" s="133">
        <f>AA117</f>
        <v>30000</v>
      </c>
      <c r="AI117" s="132">
        <f t="shared" si="36"/>
        <v>619633</v>
      </c>
      <c r="AJ117" s="132">
        <f t="shared" si="37"/>
        <v>619633</v>
      </c>
      <c r="AK117" s="132">
        <f t="shared" si="38"/>
        <v>0</v>
      </c>
      <c r="AL117" s="176"/>
      <c r="AM117" s="133"/>
      <c r="AN117" s="246">
        <v>44841</v>
      </c>
      <c r="AO117" s="259"/>
    </row>
    <row r="118" s="187" customFormat="1" customHeight="1" spans="1:41">
      <c r="A118" s="115" t="s">
        <v>467</v>
      </c>
      <c r="B118" s="115" t="s">
        <v>468</v>
      </c>
      <c r="C118" s="193" t="s">
        <v>469</v>
      </c>
      <c r="D118" s="193" t="str">
        <f t="shared" si="25"/>
        <v>金璐412722198109051022</v>
      </c>
      <c r="E118" s="155" t="s">
        <v>470</v>
      </c>
      <c r="F118" s="115" t="s">
        <v>471</v>
      </c>
      <c r="G118" s="115">
        <v>9</v>
      </c>
      <c r="H118" s="115">
        <v>3</v>
      </c>
      <c r="I118" s="115">
        <v>3</v>
      </c>
      <c r="J118" s="115">
        <v>303</v>
      </c>
      <c r="K118" s="115">
        <v>98.96</v>
      </c>
      <c r="L118" s="115">
        <v>8590</v>
      </c>
      <c r="M118" s="115"/>
      <c r="N118" s="115"/>
      <c r="O118" s="431">
        <v>8489.6</v>
      </c>
      <c r="P118" s="115">
        <v>840131</v>
      </c>
      <c r="Q118" s="115" t="s">
        <v>66</v>
      </c>
      <c r="R118" s="115">
        <v>260131</v>
      </c>
      <c r="S118" s="115"/>
      <c r="T118" s="115" t="s">
        <v>47</v>
      </c>
      <c r="U118" s="115"/>
      <c r="V118" s="115">
        <v>580000</v>
      </c>
      <c r="W118" s="115">
        <v>6432</v>
      </c>
      <c r="X118" s="115">
        <v>80</v>
      </c>
      <c r="Y118" s="115" t="s">
        <v>48</v>
      </c>
      <c r="Z118" s="115"/>
      <c r="AA118" s="115"/>
      <c r="AB118" s="115">
        <v>1138</v>
      </c>
      <c r="AC118" s="115"/>
      <c r="AD118" s="115"/>
      <c r="AE118" s="115"/>
      <c r="AF118" s="291"/>
      <c r="AG118" s="246">
        <v>43091</v>
      </c>
      <c r="AH118" s="133">
        <f>R118+W118+X118</f>
        <v>266643</v>
      </c>
      <c r="AI118" s="132">
        <f t="shared" si="36"/>
        <v>847781</v>
      </c>
      <c r="AJ118" s="132">
        <f t="shared" si="37"/>
        <v>846643</v>
      </c>
      <c r="AK118" s="132">
        <f t="shared" si="38"/>
        <v>1138</v>
      </c>
      <c r="AL118" s="176"/>
      <c r="AM118" s="133"/>
      <c r="AN118" s="246">
        <v>44841</v>
      </c>
      <c r="AO118" s="259"/>
    </row>
    <row r="119" s="187" customFormat="1" customHeight="1" spans="1:41">
      <c r="A119" s="115" t="s">
        <v>472</v>
      </c>
      <c r="B119" s="115" t="s">
        <v>468</v>
      </c>
      <c r="C119" s="193" t="s">
        <v>469</v>
      </c>
      <c r="D119" s="193" t="str">
        <f t="shared" si="25"/>
        <v>金璐412722198109051022</v>
      </c>
      <c r="E119" s="155" t="s">
        <v>470</v>
      </c>
      <c r="F119" s="115" t="s">
        <v>471</v>
      </c>
      <c r="G119" s="115">
        <v>9</v>
      </c>
      <c r="H119" s="115">
        <v>3</v>
      </c>
      <c r="I119" s="115">
        <v>3</v>
      </c>
      <c r="J119" s="115">
        <v>304</v>
      </c>
      <c r="K119" s="115">
        <v>93.85</v>
      </c>
      <c r="L119" s="115">
        <v>8615</v>
      </c>
      <c r="M119" s="115"/>
      <c r="N119" s="115"/>
      <c r="O119" s="431">
        <v>8513.6</v>
      </c>
      <c r="P119" s="115">
        <v>799001</v>
      </c>
      <c r="Q119" s="115" t="s">
        <v>56</v>
      </c>
      <c r="R119" s="115">
        <v>799001</v>
      </c>
      <c r="S119" s="115"/>
      <c r="T119" s="115" t="s">
        <v>47</v>
      </c>
      <c r="U119" s="115"/>
      <c r="V119" s="115"/>
      <c r="W119" s="115">
        <v>6100</v>
      </c>
      <c r="X119" s="115">
        <v>80</v>
      </c>
      <c r="Y119" s="115" t="s">
        <v>48</v>
      </c>
      <c r="Z119" s="115"/>
      <c r="AA119" s="115"/>
      <c r="AB119" s="115"/>
      <c r="AC119" s="115"/>
      <c r="AD119" s="115"/>
      <c r="AE119" s="115"/>
      <c r="AF119" s="291"/>
      <c r="AG119" s="246">
        <v>44141</v>
      </c>
      <c r="AH119" s="133"/>
      <c r="AI119" s="132">
        <f t="shared" si="36"/>
        <v>805181</v>
      </c>
      <c r="AJ119" s="132">
        <f t="shared" si="37"/>
        <v>805181</v>
      </c>
      <c r="AK119" s="132">
        <f t="shared" si="38"/>
        <v>0</v>
      </c>
      <c r="AL119" s="176"/>
      <c r="AM119" s="133"/>
      <c r="AN119" s="246">
        <v>44841</v>
      </c>
      <c r="AO119" s="259"/>
    </row>
    <row r="120" s="187" customFormat="1" customHeight="1" spans="1:41">
      <c r="A120" s="115" t="s">
        <v>473</v>
      </c>
      <c r="B120" s="115" t="s">
        <v>474</v>
      </c>
      <c r="C120" s="193" t="s">
        <v>475</v>
      </c>
      <c r="D120" s="193" t="str">
        <f t="shared" si="25"/>
        <v>晏淑珍210404198611262716</v>
      </c>
      <c r="E120" s="155" t="s">
        <v>476</v>
      </c>
      <c r="F120" s="115" t="s">
        <v>477</v>
      </c>
      <c r="G120" s="115">
        <v>11</v>
      </c>
      <c r="H120" s="115">
        <v>3</v>
      </c>
      <c r="I120" s="115">
        <v>31</v>
      </c>
      <c r="J120" s="115">
        <v>3101</v>
      </c>
      <c r="K120" s="115">
        <v>149.28</v>
      </c>
      <c r="L120" s="115">
        <v>9110</v>
      </c>
      <c r="M120" s="115"/>
      <c r="N120" s="115"/>
      <c r="O120" s="431">
        <v>12600</v>
      </c>
      <c r="P120" s="115">
        <f>ROUND(K120*O120,0)</f>
        <v>1880928</v>
      </c>
      <c r="Q120" s="115" t="s">
        <v>56</v>
      </c>
      <c r="R120" s="115">
        <f>1880928-520987</f>
        <v>1359941</v>
      </c>
      <c r="S120" s="115">
        <v>-520987</v>
      </c>
      <c r="T120" s="115"/>
      <c r="U120" s="115"/>
      <c r="V120" s="115"/>
      <c r="W120" s="115">
        <v>9703</v>
      </c>
      <c r="X120" s="115">
        <v>80</v>
      </c>
      <c r="Y120" s="115" t="s">
        <v>48</v>
      </c>
      <c r="Z120" s="115"/>
      <c r="AA120" s="115"/>
      <c r="AB120" s="115"/>
      <c r="AC120" s="115"/>
      <c r="AD120" s="115"/>
      <c r="AE120" s="115"/>
      <c r="AF120" s="291"/>
      <c r="AG120" s="246">
        <v>43390</v>
      </c>
      <c r="AH120" s="133">
        <f>R120+W120+X120</f>
        <v>1369724</v>
      </c>
      <c r="AI120" s="132">
        <f t="shared" si="36"/>
        <v>1369724</v>
      </c>
      <c r="AJ120" s="132">
        <f t="shared" si="37"/>
        <v>1369724</v>
      </c>
      <c r="AK120" s="132">
        <f t="shared" si="38"/>
        <v>0</v>
      </c>
      <c r="AL120" s="176" t="s">
        <v>478</v>
      </c>
      <c r="AM120" s="133"/>
      <c r="AN120" s="246">
        <v>44841</v>
      </c>
      <c r="AO120" s="259"/>
    </row>
    <row r="121" s="187" customFormat="1" customHeight="1" spans="1:41">
      <c r="A121" s="115" t="s">
        <v>479</v>
      </c>
      <c r="B121" s="115" t="s">
        <v>480</v>
      </c>
      <c r="C121" s="193" t="s">
        <v>481</v>
      </c>
      <c r="D121" s="193" t="str">
        <f t="shared" si="25"/>
        <v>杨艳410103196204182466</v>
      </c>
      <c r="E121" s="155">
        <v>13607686863</v>
      </c>
      <c r="F121" s="115"/>
      <c r="G121" s="115">
        <v>3</v>
      </c>
      <c r="H121" s="115">
        <v>3</v>
      </c>
      <c r="I121" s="115">
        <v>11</v>
      </c>
      <c r="J121" s="115">
        <v>1118</v>
      </c>
      <c r="K121" s="115">
        <v>69.11</v>
      </c>
      <c r="L121" s="115">
        <v>20000</v>
      </c>
      <c r="M121" s="115"/>
      <c r="N121" s="115"/>
      <c r="O121" s="431">
        <v>8709.8</v>
      </c>
      <c r="P121" s="115">
        <f t="shared" ref="P121:P126" si="39">ROUND(O121*K121,0)</f>
        <v>601934</v>
      </c>
      <c r="Q121" s="115" t="s">
        <v>56</v>
      </c>
      <c r="R121" s="115">
        <v>601934</v>
      </c>
      <c r="S121" s="115"/>
      <c r="T121" s="115" t="s">
        <v>47</v>
      </c>
      <c r="U121" s="115"/>
      <c r="V121" s="115"/>
      <c r="W121" s="115">
        <v>4492</v>
      </c>
      <c r="X121" s="115">
        <v>550</v>
      </c>
      <c r="Y121" s="115" t="s">
        <v>48</v>
      </c>
      <c r="Z121" s="115"/>
      <c r="AA121" s="115"/>
      <c r="AB121" s="115"/>
      <c r="AC121" s="115"/>
      <c r="AD121" s="115"/>
      <c r="AE121" s="115"/>
      <c r="AF121" s="291"/>
      <c r="AG121" s="246">
        <v>43075</v>
      </c>
      <c r="AH121" s="133">
        <f>AJ121</f>
        <v>606976</v>
      </c>
      <c r="AI121" s="132">
        <f t="shared" si="36"/>
        <v>606976</v>
      </c>
      <c r="AJ121" s="132">
        <f t="shared" si="37"/>
        <v>606976</v>
      </c>
      <c r="AK121" s="132">
        <f t="shared" si="38"/>
        <v>0</v>
      </c>
      <c r="AL121" s="176"/>
      <c r="AM121" s="133"/>
      <c r="AN121" s="246">
        <v>44841</v>
      </c>
      <c r="AO121" s="259"/>
    </row>
    <row r="122" s="187" customFormat="1" customHeight="1" spans="1:41">
      <c r="A122" s="115" t="s">
        <v>482</v>
      </c>
      <c r="B122" s="115" t="s">
        <v>483</v>
      </c>
      <c r="C122" s="193" t="s">
        <v>484</v>
      </c>
      <c r="D122" s="193" t="str">
        <f t="shared" si="25"/>
        <v>马玉凤410126197012080341</v>
      </c>
      <c r="E122" s="155" t="s">
        <v>485</v>
      </c>
      <c r="F122" s="115"/>
      <c r="G122" s="115">
        <v>3</v>
      </c>
      <c r="H122" s="115">
        <v>3</v>
      </c>
      <c r="I122" s="115">
        <v>16</v>
      </c>
      <c r="J122" s="115">
        <v>1627</v>
      </c>
      <c r="K122" s="115">
        <v>58.41</v>
      </c>
      <c r="L122" s="115">
        <v>20000</v>
      </c>
      <c r="M122" s="115"/>
      <c r="N122" s="115"/>
      <c r="O122" s="431">
        <v>13677</v>
      </c>
      <c r="P122" s="115">
        <f t="shared" si="39"/>
        <v>798874</v>
      </c>
      <c r="Q122" s="115" t="s">
        <v>66</v>
      </c>
      <c r="R122" s="115">
        <v>409694</v>
      </c>
      <c r="S122" s="115"/>
      <c r="T122" s="115">
        <v>389180</v>
      </c>
      <c r="U122" s="115">
        <f>P122-R122</f>
        <v>389180</v>
      </c>
      <c r="V122" s="115"/>
      <c r="W122" s="115"/>
      <c r="X122" s="115"/>
      <c r="Y122" s="115"/>
      <c r="Z122" s="115"/>
      <c r="AA122" s="115"/>
      <c r="AB122" s="115"/>
      <c r="AC122" s="115"/>
      <c r="AD122" s="115"/>
      <c r="AE122" s="115" t="s">
        <v>123</v>
      </c>
      <c r="AF122" s="291"/>
      <c r="AG122" s="246">
        <v>42775</v>
      </c>
      <c r="AH122" s="133"/>
      <c r="AI122" s="132">
        <f t="shared" ref="AI122:AI136" si="40">R122+V122+W122+X122+AA122+AB122+AC122+AD122</f>
        <v>409694</v>
      </c>
      <c r="AJ122" s="132">
        <f t="shared" ref="AJ122:AJ136" si="41">R122+W122+V122+X122+AA122</f>
        <v>409694</v>
      </c>
      <c r="AK122" s="132">
        <f t="shared" ref="AK122:AK136" si="42">AI122-AJ122</f>
        <v>0</v>
      </c>
      <c r="AL122" s="176"/>
      <c r="AM122" s="133"/>
      <c r="AN122" s="246">
        <v>44841</v>
      </c>
      <c r="AO122" s="259"/>
    </row>
    <row r="123" s="187" customFormat="1" customHeight="1" spans="1:41">
      <c r="A123" s="115" t="s">
        <v>486</v>
      </c>
      <c r="B123" s="115" t="s">
        <v>487</v>
      </c>
      <c r="C123" s="546" t="s">
        <v>488</v>
      </c>
      <c r="D123" s="193" t="str">
        <f t="shared" si="25"/>
        <v>范振宏410102199704210010</v>
      </c>
      <c r="E123" s="155">
        <v>15136465148</v>
      </c>
      <c r="F123" s="115" t="s">
        <v>489</v>
      </c>
      <c r="G123" s="115">
        <v>10</v>
      </c>
      <c r="H123" s="115">
        <v>2</v>
      </c>
      <c r="I123" s="115">
        <v>21</v>
      </c>
      <c r="J123" s="115">
        <v>2108</v>
      </c>
      <c r="K123" s="115">
        <v>94.61</v>
      </c>
      <c r="L123" s="115">
        <v>19970</v>
      </c>
      <c r="M123" s="115"/>
      <c r="N123" s="115"/>
      <c r="O123" s="431">
        <v>15800</v>
      </c>
      <c r="P123" s="115">
        <f t="shared" si="39"/>
        <v>1494838</v>
      </c>
      <c r="Q123" s="115" t="s">
        <v>56</v>
      </c>
      <c r="R123" s="115">
        <v>1494838</v>
      </c>
      <c r="S123" s="115"/>
      <c r="T123" s="115" t="s">
        <v>47</v>
      </c>
      <c r="U123" s="115"/>
      <c r="V123" s="115"/>
      <c r="W123" s="115">
        <v>6149</v>
      </c>
      <c r="X123" s="115">
        <v>80</v>
      </c>
      <c r="Y123" s="115" t="s">
        <v>48</v>
      </c>
      <c r="Z123" s="115"/>
      <c r="AA123" s="115"/>
      <c r="AB123" s="115"/>
      <c r="AC123" s="115"/>
      <c r="AD123" s="115"/>
      <c r="AE123" s="115"/>
      <c r="AF123" s="291"/>
      <c r="AG123" s="246">
        <v>44079</v>
      </c>
      <c r="AH123" s="133"/>
      <c r="AI123" s="132">
        <f t="shared" si="40"/>
        <v>1501067</v>
      </c>
      <c r="AJ123" s="132">
        <f t="shared" si="41"/>
        <v>1501067</v>
      </c>
      <c r="AK123" s="132">
        <f t="shared" si="42"/>
        <v>0</v>
      </c>
      <c r="AL123" s="176"/>
      <c r="AM123" s="133"/>
      <c r="AN123" s="246">
        <v>44841</v>
      </c>
      <c r="AO123" s="259"/>
    </row>
    <row r="124" s="187" customFormat="1" customHeight="1" spans="1:41">
      <c r="A124" s="115" t="s">
        <v>490</v>
      </c>
      <c r="B124" s="115" t="s">
        <v>491</v>
      </c>
      <c r="C124" s="193" t="s">
        <v>492</v>
      </c>
      <c r="D124" s="193" t="str">
        <f t="shared" si="25"/>
        <v>山梅410105197106181627</v>
      </c>
      <c r="E124" s="155">
        <v>13673977229</v>
      </c>
      <c r="F124" s="115"/>
      <c r="G124" s="115">
        <v>3</v>
      </c>
      <c r="H124" s="115">
        <v>3</v>
      </c>
      <c r="I124" s="115">
        <v>9</v>
      </c>
      <c r="J124" s="115">
        <v>925</v>
      </c>
      <c r="K124" s="115">
        <v>66.94</v>
      </c>
      <c r="L124" s="115">
        <v>20000</v>
      </c>
      <c r="M124" s="115"/>
      <c r="N124" s="115"/>
      <c r="O124" s="431">
        <v>8894.71</v>
      </c>
      <c r="P124" s="115">
        <f t="shared" si="39"/>
        <v>595412</v>
      </c>
      <c r="Q124" s="115" t="s">
        <v>56</v>
      </c>
      <c r="R124" s="115">
        <v>595412</v>
      </c>
      <c r="S124" s="115"/>
      <c r="T124" s="115" t="s">
        <v>47</v>
      </c>
      <c r="U124" s="115"/>
      <c r="V124" s="115"/>
      <c r="W124" s="115">
        <v>4351</v>
      </c>
      <c r="X124" s="115">
        <v>550</v>
      </c>
      <c r="Y124" s="115" t="s">
        <v>48</v>
      </c>
      <c r="Z124" s="115"/>
      <c r="AA124" s="115"/>
      <c r="AB124" s="115"/>
      <c r="AC124" s="115"/>
      <c r="AD124" s="115"/>
      <c r="AE124" s="115"/>
      <c r="AF124" s="291"/>
      <c r="AG124" s="246">
        <v>43068</v>
      </c>
      <c r="AH124" s="133"/>
      <c r="AI124" s="132">
        <f t="shared" si="40"/>
        <v>600313</v>
      </c>
      <c r="AJ124" s="132">
        <f t="shared" si="41"/>
        <v>600313</v>
      </c>
      <c r="AK124" s="132">
        <f t="shared" si="42"/>
        <v>0</v>
      </c>
      <c r="AL124" s="176"/>
      <c r="AM124" s="133"/>
      <c r="AN124" s="246">
        <v>44841</v>
      </c>
      <c r="AO124" s="259"/>
    </row>
    <row r="125" s="187" customFormat="1" customHeight="1" spans="1:41">
      <c r="A125" s="115" t="s">
        <v>493</v>
      </c>
      <c r="B125" s="115" t="s">
        <v>494</v>
      </c>
      <c r="C125" s="193" t="s">
        <v>495</v>
      </c>
      <c r="D125" s="193" t="str">
        <f t="shared" si="25"/>
        <v>董雪萍412702198709186988</v>
      </c>
      <c r="E125" s="155">
        <v>18538190187</v>
      </c>
      <c r="F125" s="115"/>
      <c r="G125" s="115">
        <v>3</v>
      </c>
      <c r="H125" s="115">
        <v>3</v>
      </c>
      <c r="I125" s="115">
        <v>12</v>
      </c>
      <c r="J125" s="115">
        <v>1231</v>
      </c>
      <c r="K125" s="115">
        <v>56.44</v>
      </c>
      <c r="L125" s="115">
        <v>20000</v>
      </c>
      <c r="M125" s="115"/>
      <c r="N125" s="115"/>
      <c r="O125" s="431">
        <v>8783.84</v>
      </c>
      <c r="P125" s="115">
        <f t="shared" si="39"/>
        <v>495760</v>
      </c>
      <c r="Q125" s="115" t="s">
        <v>56</v>
      </c>
      <c r="R125" s="115">
        <v>495760</v>
      </c>
      <c r="S125" s="115"/>
      <c r="T125" s="115" t="s">
        <v>47</v>
      </c>
      <c r="U125" s="115"/>
      <c r="V125" s="115"/>
      <c r="W125" s="115">
        <v>3668</v>
      </c>
      <c r="X125" s="115">
        <v>550</v>
      </c>
      <c r="Y125" s="115" t="s">
        <v>48</v>
      </c>
      <c r="Z125" s="115"/>
      <c r="AA125" s="115"/>
      <c r="AB125" s="115"/>
      <c r="AC125" s="115"/>
      <c r="AD125" s="115"/>
      <c r="AE125" s="115"/>
      <c r="AF125" s="291"/>
      <c r="AG125" s="246">
        <v>371809</v>
      </c>
      <c r="AH125" s="133">
        <f>AJ125</f>
        <v>499978</v>
      </c>
      <c r="AI125" s="132">
        <f t="shared" si="40"/>
        <v>499978</v>
      </c>
      <c r="AJ125" s="132">
        <f t="shared" si="41"/>
        <v>499978</v>
      </c>
      <c r="AK125" s="132">
        <f t="shared" si="42"/>
        <v>0</v>
      </c>
      <c r="AL125" s="176"/>
      <c r="AM125" s="133"/>
      <c r="AN125" s="246">
        <v>44841</v>
      </c>
      <c r="AO125" s="259"/>
    </row>
    <row r="126" s="187" customFormat="1" customHeight="1" spans="1:41">
      <c r="A126" s="115" t="s">
        <v>496</v>
      </c>
      <c r="B126" s="115" t="s">
        <v>497</v>
      </c>
      <c r="C126" s="193" t="s">
        <v>498</v>
      </c>
      <c r="D126" s="193" t="str">
        <f t="shared" si="25"/>
        <v>韩艳彬410711199412072524</v>
      </c>
      <c r="E126" s="155">
        <v>13938724718</v>
      </c>
      <c r="F126" s="115"/>
      <c r="G126" s="115">
        <v>3</v>
      </c>
      <c r="H126" s="115">
        <v>3</v>
      </c>
      <c r="I126" s="115">
        <v>19</v>
      </c>
      <c r="J126" s="115">
        <v>1928</v>
      </c>
      <c r="K126" s="115">
        <v>64.13</v>
      </c>
      <c r="L126" s="115">
        <v>20000</v>
      </c>
      <c r="M126" s="115"/>
      <c r="N126" s="115"/>
      <c r="O126" s="431">
        <v>12000</v>
      </c>
      <c r="P126" s="115">
        <f t="shared" si="39"/>
        <v>769560</v>
      </c>
      <c r="Q126" s="115" t="s">
        <v>56</v>
      </c>
      <c r="R126" s="115">
        <v>774922</v>
      </c>
      <c r="S126" s="115">
        <v>-5362</v>
      </c>
      <c r="T126" s="115" t="s">
        <v>47</v>
      </c>
      <c r="U126" s="115"/>
      <c r="V126" s="115"/>
      <c r="W126" s="115">
        <v>4168</v>
      </c>
      <c r="X126" s="115">
        <v>550</v>
      </c>
      <c r="Y126" s="115" t="s">
        <v>48</v>
      </c>
      <c r="Z126" s="115"/>
      <c r="AA126" s="115"/>
      <c r="AB126" s="115"/>
      <c r="AC126" s="115"/>
      <c r="AD126" s="115"/>
      <c r="AE126" s="115" t="s">
        <v>123</v>
      </c>
      <c r="AF126" s="291"/>
      <c r="AG126" s="246"/>
      <c r="AH126" s="133">
        <f>AJ126</f>
        <v>779640</v>
      </c>
      <c r="AI126" s="132">
        <f t="shared" si="40"/>
        <v>779640</v>
      </c>
      <c r="AJ126" s="132">
        <f t="shared" si="41"/>
        <v>779640</v>
      </c>
      <c r="AK126" s="132">
        <f t="shared" si="42"/>
        <v>0</v>
      </c>
      <c r="AL126" s="176"/>
      <c r="AM126" s="133"/>
      <c r="AN126" s="246">
        <v>44841</v>
      </c>
      <c r="AO126" s="259"/>
    </row>
    <row r="127" s="187" customFormat="1" customHeight="1" spans="1:41">
      <c r="A127" s="115" t="s">
        <v>499</v>
      </c>
      <c r="B127" s="115" t="s">
        <v>500</v>
      </c>
      <c r="C127" s="193" t="s">
        <v>501</v>
      </c>
      <c r="D127" s="193" t="str">
        <f t="shared" si="25"/>
        <v>朱文静410411198209215541</v>
      </c>
      <c r="E127" s="155">
        <v>13838290722</v>
      </c>
      <c r="F127" s="115"/>
      <c r="G127" s="115">
        <v>11</v>
      </c>
      <c r="H127" s="115">
        <v>3</v>
      </c>
      <c r="I127" s="115">
        <v>5</v>
      </c>
      <c r="J127" s="115">
        <v>501</v>
      </c>
      <c r="K127" s="115">
        <v>149.28</v>
      </c>
      <c r="L127" s="115">
        <v>8886</v>
      </c>
      <c r="M127" s="115"/>
      <c r="N127" s="115"/>
      <c r="O127" s="431">
        <v>8786.4</v>
      </c>
      <c r="P127" s="115">
        <v>1311635</v>
      </c>
      <c r="Q127" s="115" t="s">
        <v>46</v>
      </c>
      <c r="R127" s="115">
        <v>711635</v>
      </c>
      <c r="S127" s="115"/>
      <c r="T127" s="115">
        <v>600000</v>
      </c>
      <c r="U127" s="115"/>
      <c r="V127" s="115"/>
      <c r="W127" s="115">
        <v>9703</v>
      </c>
      <c r="X127" s="115">
        <v>80</v>
      </c>
      <c r="Y127" s="115" t="s">
        <v>48</v>
      </c>
      <c r="Z127" s="115"/>
      <c r="AA127" s="115"/>
      <c r="AB127" s="115"/>
      <c r="AC127" s="115"/>
      <c r="AD127" s="115"/>
      <c r="AE127" s="115"/>
      <c r="AF127" s="291"/>
      <c r="AG127" s="246"/>
      <c r="AH127" s="133"/>
      <c r="AI127" s="132">
        <f t="shared" si="40"/>
        <v>721418</v>
      </c>
      <c r="AJ127" s="132">
        <f t="shared" si="41"/>
        <v>721418</v>
      </c>
      <c r="AK127" s="132">
        <f t="shared" si="42"/>
        <v>0</v>
      </c>
      <c r="AL127" s="176"/>
      <c r="AM127" s="133"/>
      <c r="AN127" s="246">
        <v>44841</v>
      </c>
      <c r="AO127" s="259"/>
    </row>
    <row r="128" s="187" customFormat="1" customHeight="1" spans="1:41">
      <c r="A128" s="115" t="s">
        <v>502</v>
      </c>
      <c r="B128" s="115" t="s">
        <v>503</v>
      </c>
      <c r="C128" s="193" t="s">
        <v>504</v>
      </c>
      <c r="D128" s="193" t="str">
        <f t="shared" si="25"/>
        <v>陈永静412929197401202968</v>
      </c>
      <c r="E128" s="155" t="s">
        <v>505</v>
      </c>
      <c r="F128" s="115"/>
      <c r="G128" s="115">
        <v>3</v>
      </c>
      <c r="H128" s="115">
        <v>3</v>
      </c>
      <c r="I128" s="115">
        <v>8</v>
      </c>
      <c r="J128" s="115">
        <v>814</v>
      </c>
      <c r="K128" s="115">
        <v>75.81</v>
      </c>
      <c r="L128" s="115">
        <v>20000</v>
      </c>
      <c r="M128" s="115"/>
      <c r="N128" s="115"/>
      <c r="O128" s="431">
        <v>8393.63</v>
      </c>
      <c r="P128" s="115">
        <f>ROUND(O128*K128,0)</f>
        <v>636321</v>
      </c>
      <c r="Q128" s="115" t="s">
        <v>56</v>
      </c>
      <c r="R128" s="115">
        <v>636321</v>
      </c>
      <c r="S128" s="115"/>
      <c r="T128" s="115" t="s">
        <v>47</v>
      </c>
      <c r="U128" s="115"/>
      <c r="V128" s="115"/>
      <c r="W128" s="115">
        <v>4927</v>
      </c>
      <c r="X128" s="115">
        <v>550</v>
      </c>
      <c r="Y128" s="115" t="s">
        <v>48</v>
      </c>
      <c r="Z128" s="115"/>
      <c r="AA128" s="115"/>
      <c r="AB128" s="115"/>
      <c r="AC128" s="115"/>
      <c r="AD128" s="115"/>
      <c r="AE128" s="115"/>
      <c r="AF128" s="291"/>
      <c r="AG128" s="246"/>
      <c r="AH128" s="133">
        <f>AJ128</f>
        <v>641798</v>
      </c>
      <c r="AI128" s="132">
        <f t="shared" si="40"/>
        <v>641798</v>
      </c>
      <c r="AJ128" s="132">
        <f t="shared" si="41"/>
        <v>641798</v>
      </c>
      <c r="AK128" s="132">
        <f t="shared" si="42"/>
        <v>0</v>
      </c>
      <c r="AL128" s="176"/>
      <c r="AM128" s="133"/>
      <c r="AN128" s="246">
        <v>44841</v>
      </c>
      <c r="AO128" s="259"/>
    </row>
    <row r="129" s="187" customFormat="1" customHeight="1" spans="1:41">
      <c r="A129" s="115" t="s">
        <v>506</v>
      </c>
      <c r="B129" s="115" t="s">
        <v>507</v>
      </c>
      <c r="C129" s="193" t="s">
        <v>508</v>
      </c>
      <c r="D129" s="193" t="str">
        <f t="shared" si="25"/>
        <v>何营舟410105197306241612</v>
      </c>
      <c r="E129" s="155" t="s">
        <v>509</v>
      </c>
      <c r="F129" s="115"/>
      <c r="G129" s="115">
        <v>11</v>
      </c>
      <c r="H129" s="115">
        <v>3</v>
      </c>
      <c r="I129" s="115">
        <v>27</v>
      </c>
      <c r="J129" s="115">
        <v>2701</v>
      </c>
      <c r="K129" s="115">
        <v>149.28</v>
      </c>
      <c r="L129" s="115">
        <v>17900</v>
      </c>
      <c r="M129" s="115"/>
      <c r="N129" s="115"/>
      <c r="O129" s="431">
        <v>14000</v>
      </c>
      <c r="P129" s="115">
        <f>ROUND(K129*O129,0)</f>
        <v>2089920</v>
      </c>
      <c r="Q129" s="115" t="s">
        <v>56</v>
      </c>
      <c r="R129" s="115">
        <v>2089920</v>
      </c>
      <c r="S129" s="115" t="s">
        <v>47</v>
      </c>
      <c r="T129" s="115"/>
      <c r="U129" s="115"/>
      <c r="V129" s="115"/>
      <c r="W129" s="115">
        <v>9703</v>
      </c>
      <c r="X129" s="115">
        <v>80</v>
      </c>
      <c r="Y129" s="115" t="s">
        <v>48</v>
      </c>
      <c r="Z129" s="115"/>
      <c r="AA129" s="115"/>
      <c r="AB129" s="115"/>
      <c r="AC129" s="115"/>
      <c r="AD129" s="115"/>
      <c r="AE129" s="115"/>
      <c r="AF129" s="291"/>
      <c r="AG129" s="246">
        <v>44065</v>
      </c>
      <c r="AH129" s="133">
        <v>9783</v>
      </c>
      <c r="AI129" s="132">
        <f t="shared" si="40"/>
        <v>2099703</v>
      </c>
      <c r="AJ129" s="132">
        <f t="shared" si="41"/>
        <v>2099703</v>
      </c>
      <c r="AK129" s="132">
        <f t="shared" si="42"/>
        <v>0</v>
      </c>
      <c r="AL129" s="176" t="s">
        <v>455</v>
      </c>
      <c r="AM129" s="133"/>
      <c r="AN129" s="246">
        <v>44841</v>
      </c>
      <c r="AO129" s="259"/>
    </row>
    <row r="130" s="187" customFormat="1" customHeight="1" spans="1:41">
      <c r="A130" s="115" t="s">
        <v>510</v>
      </c>
      <c r="B130" s="115" t="s">
        <v>511</v>
      </c>
      <c r="C130" s="193" t="s">
        <v>512</v>
      </c>
      <c r="D130" s="193" t="str">
        <f t="shared" si="25"/>
        <v>李翠田412729197310157507</v>
      </c>
      <c r="E130" s="155" t="s">
        <v>513</v>
      </c>
      <c r="F130" s="115"/>
      <c r="G130" s="115">
        <v>2</v>
      </c>
      <c r="H130" s="115">
        <v>2</v>
      </c>
      <c r="I130" s="115">
        <v>10</v>
      </c>
      <c r="J130" s="115">
        <v>1028</v>
      </c>
      <c r="K130" s="115">
        <v>50.32</v>
      </c>
      <c r="L130" s="115">
        <v>20000</v>
      </c>
      <c r="M130" s="115"/>
      <c r="N130" s="115"/>
      <c r="O130" s="431">
        <v>9475</v>
      </c>
      <c r="P130" s="115">
        <f>ROUND(O130*K130,0)</f>
        <v>476782</v>
      </c>
      <c r="Q130" s="115" t="s">
        <v>66</v>
      </c>
      <c r="R130" s="115">
        <v>246782</v>
      </c>
      <c r="S130" s="115"/>
      <c r="T130" s="115">
        <v>230000</v>
      </c>
      <c r="U130" s="115"/>
      <c r="V130" s="115"/>
      <c r="W130" s="115">
        <v>3270</v>
      </c>
      <c r="X130" s="115">
        <v>550</v>
      </c>
      <c r="Y130" s="115" t="s">
        <v>48</v>
      </c>
      <c r="Z130" s="115"/>
      <c r="AA130" s="115"/>
      <c r="AB130" s="115"/>
      <c r="AC130" s="115"/>
      <c r="AD130" s="115"/>
      <c r="AE130" s="115"/>
      <c r="AF130" s="291"/>
      <c r="AG130" s="246">
        <v>43067</v>
      </c>
      <c r="AH130" s="133">
        <v>250602</v>
      </c>
      <c r="AI130" s="132">
        <f t="shared" si="40"/>
        <v>250602</v>
      </c>
      <c r="AJ130" s="132">
        <f t="shared" si="41"/>
        <v>250602</v>
      </c>
      <c r="AK130" s="132">
        <f t="shared" si="42"/>
        <v>0</v>
      </c>
      <c r="AL130" s="176"/>
      <c r="AM130" s="133"/>
      <c r="AN130" s="246">
        <v>44841</v>
      </c>
      <c r="AO130" s="259"/>
    </row>
    <row r="131" s="187" customFormat="1" customHeight="1" spans="1:41">
      <c r="A131" s="115" t="s">
        <v>514</v>
      </c>
      <c r="B131" s="115" t="s">
        <v>515</v>
      </c>
      <c r="C131" s="193" t="s">
        <v>516</v>
      </c>
      <c r="D131" s="193" t="str">
        <f t="shared" ref="D131:D194" si="43">B131&amp;C131</f>
        <v>王鑫412702199205017421</v>
      </c>
      <c r="E131" s="155">
        <v>13703944800</v>
      </c>
      <c r="F131" s="115"/>
      <c r="G131" s="115">
        <v>2</v>
      </c>
      <c r="H131" s="115">
        <v>2</v>
      </c>
      <c r="I131" s="115">
        <v>10</v>
      </c>
      <c r="J131" s="115">
        <v>1029</v>
      </c>
      <c r="K131" s="115">
        <v>50.43</v>
      </c>
      <c r="L131" s="115">
        <v>20000</v>
      </c>
      <c r="M131" s="115"/>
      <c r="N131" s="115"/>
      <c r="O131" s="431">
        <v>9464.99</v>
      </c>
      <c r="P131" s="115">
        <f>ROUND(O131*K131,0)</f>
        <v>477319</v>
      </c>
      <c r="Q131" s="115" t="s">
        <v>66</v>
      </c>
      <c r="R131" s="115">
        <v>247319</v>
      </c>
      <c r="S131" s="115"/>
      <c r="T131" s="115"/>
      <c r="U131" s="115">
        <v>0</v>
      </c>
      <c r="V131" s="115">
        <v>230000</v>
      </c>
      <c r="W131" s="115">
        <v>3277</v>
      </c>
      <c r="X131" s="115">
        <v>550</v>
      </c>
      <c r="Y131" s="115" t="s">
        <v>48</v>
      </c>
      <c r="Z131" s="115"/>
      <c r="AA131" s="115"/>
      <c r="AB131" s="115"/>
      <c r="AC131" s="115"/>
      <c r="AD131" s="115"/>
      <c r="AE131" s="115"/>
      <c r="AF131" s="291"/>
      <c r="AG131" s="246">
        <v>43067</v>
      </c>
      <c r="AH131" s="133">
        <v>251146</v>
      </c>
      <c r="AI131" s="132">
        <f t="shared" si="40"/>
        <v>481146</v>
      </c>
      <c r="AJ131" s="132">
        <f t="shared" si="41"/>
        <v>481146</v>
      </c>
      <c r="AK131" s="132">
        <f t="shared" si="42"/>
        <v>0</v>
      </c>
      <c r="AL131" s="176"/>
      <c r="AM131" s="133"/>
      <c r="AN131" s="246">
        <v>44841</v>
      </c>
      <c r="AO131" s="259"/>
    </row>
    <row r="132" s="187" customFormat="1" customHeight="1" spans="1:41">
      <c r="A132" s="115" t="s">
        <v>517</v>
      </c>
      <c r="B132" s="115" t="s">
        <v>518</v>
      </c>
      <c r="C132" s="193" t="s">
        <v>519</v>
      </c>
      <c r="D132" s="193" t="str">
        <f t="shared" si="43"/>
        <v>赵鹏410102197404091516</v>
      </c>
      <c r="E132" s="155">
        <v>15333710027</v>
      </c>
      <c r="F132" s="115" t="s">
        <v>520</v>
      </c>
      <c r="G132" s="115">
        <v>9</v>
      </c>
      <c r="H132" s="115">
        <v>3</v>
      </c>
      <c r="I132" s="115">
        <v>28</v>
      </c>
      <c r="J132" s="115">
        <v>2803</v>
      </c>
      <c r="K132" s="115">
        <v>99.56</v>
      </c>
      <c r="L132" s="115">
        <v>9100</v>
      </c>
      <c r="M132" s="115"/>
      <c r="N132" s="115"/>
      <c r="O132" s="431">
        <v>9000</v>
      </c>
      <c r="P132" s="115">
        <v>896040</v>
      </c>
      <c r="Q132" s="115" t="s">
        <v>46</v>
      </c>
      <c r="R132" s="115">
        <v>316040</v>
      </c>
      <c r="S132" s="115"/>
      <c r="T132" s="115">
        <v>580000</v>
      </c>
      <c r="U132" s="115"/>
      <c r="V132" s="115"/>
      <c r="W132" s="115">
        <v>6471</v>
      </c>
      <c r="X132" s="115">
        <v>80</v>
      </c>
      <c r="Y132" s="115"/>
      <c r="Z132" s="115"/>
      <c r="AA132" s="115"/>
      <c r="AB132" s="115"/>
      <c r="AC132" s="115"/>
      <c r="AD132" s="115"/>
      <c r="AE132" s="115"/>
      <c r="AF132" s="291"/>
      <c r="AG132" s="246">
        <v>44204</v>
      </c>
      <c r="AH132" s="133"/>
      <c r="AI132" s="132">
        <f t="shared" si="40"/>
        <v>322591</v>
      </c>
      <c r="AJ132" s="132">
        <f t="shared" si="41"/>
        <v>322591</v>
      </c>
      <c r="AK132" s="132">
        <f t="shared" si="42"/>
        <v>0</v>
      </c>
      <c r="AL132" s="176"/>
      <c r="AM132" s="133"/>
      <c r="AN132" s="246">
        <v>44841</v>
      </c>
      <c r="AO132" s="259"/>
    </row>
    <row r="133" s="187" customFormat="1" customHeight="1" spans="1:41">
      <c r="A133" s="115" t="s">
        <v>521</v>
      </c>
      <c r="B133" s="115" t="s">
        <v>522</v>
      </c>
      <c r="C133" s="193" t="s">
        <v>523</v>
      </c>
      <c r="D133" s="193" t="str">
        <f t="shared" si="43"/>
        <v>刘利珍410102195005120026</v>
      </c>
      <c r="E133" s="155">
        <v>13673992071</v>
      </c>
      <c r="F133" s="115"/>
      <c r="G133" s="115">
        <v>11</v>
      </c>
      <c r="H133" s="115">
        <v>3</v>
      </c>
      <c r="I133" s="115">
        <v>19</v>
      </c>
      <c r="J133" s="115">
        <v>1901</v>
      </c>
      <c r="K133" s="115">
        <v>149.28</v>
      </c>
      <c r="L133" s="115">
        <v>12700</v>
      </c>
      <c r="M133" s="115"/>
      <c r="N133" s="115"/>
      <c r="O133" s="431">
        <v>12600</v>
      </c>
      <c r="P133" s="115">
        <f>ROUND(K133*O133,0)</f>
        <v>1880928</v>
      </c>
      <c r="Q133" s="115" t="s">
        <v>56</v>
      </c>
      <c r="R133" s="115">
        <v>1880928</v>
      </c>
      <c r="S133" s="115"/>
      <c r="T133" s="115" t="s">
        <v>47</v>
      </c>
      <c r="U133" s="115"/>
      <c r="V133" s="115"/>
      <c r="W133" s="115">
        <v>9703</v>
      </c>
      <c r="X133" s="115">
        <v>80</v>
      </c>
      <c r="Y133" s="115" t="s">
        <v>48</v>
      </c>
      <c r="Z133" s="115"/>
      <c r="AA133" s="115"/>
      <c r="AB133" s="115"/>
      <c r="AC133" s="115"/>
      <c r="AD133" s="115"/>
      <c r="AE133" s="115"/>
      <c r="AF133" s="291"/>
      <c r="AG133" s="246">
        <v>43979</v>
      </c>
      <c r="AH133" s="133"/>
      <c r="AI133" s="132">
        <f t="shared" si="40"/>
        <v>1890711</v>
      </c>
      <c r="AJ133" s="132">
        <f t="shared" si="41"/>
        <v>1890711</v>
      </c>
      <c r="AK133" s="132">
        <f t="shared" si="42"/>
        <v>0</v>
      </c>
      <c r="AL133" s="176"/>
      <c r="AM133" s="133"/>
      <c r="AN133" s="246">
        <v>44841</v>
      </c>
      <c r="AO133" s="259"/>
    </row>
    <row r="134" s="187" customFormat="1" customHeight="1" spans="1:41">
      <c r="A134" s="115" t="s">
        <v>524</v>
      </c>
      <c r="B134" s="115" t="s">
        <v>525</v>
      </c>
      <c r="C134" s="193" t="s">
        <v>526</v>
      </c>
      <c r="D134" s="193" t="str">
        <f t="shared" si="43"/>
        <v>禹航410102199211240078</v>
      </c>
      <c r="E134" s="155">
        <v>13607640558</v>
      </c>
      <c r="F134" s="115"/>
      <c r="G134" s="115">
        <v>3</v>
      </c>
      <c r="H134" s="115">
        <v>3</v>
      </c>
      <c r="I134" s="115">
        <v>12</v>
      </c>
      <c r="J134" s="115">
        <v>1227</v>
      </c>
      <c r="K134" s="115">
        <v>58.41</v>
      </c>
      <c r="L134" s="115">
        <v>20000</v>
      </c>
      <c r="M134" s="115"/>
      <c r="N134" s="115"/>
      <c r="O134" s="431">
        <v>9654.29</v>
      </c>
      <c r="P134" s="115">
        <f t="shared" ref="P134:P139" si="44">ROUND(O134*K134,0)</f>
        <v>563907</v>
      </c>
      <c r="Q134" s="115" t="s">
        <v>66</v>
      </c>
      <c r="R134" s="115">
        <v>283907</v>
      </c>
      <c r="S134" s="115"/>
      <c r="T134" s="115" t="s">
        <v>47</v>
      </c>
      <c r="U134" s="115"/>
      <c r="V134" s="115">
        <v>280000</v>
      </c>
      <c r="W134" s="115">
        <v>3796</v>
      </c>
      <c r="X134" s="115">
        <v>550</v>
      </c>
      <c r="Y134" s="115" t="s">
        <v>48</v>
      </c>
      <c r="Z134" s="115"/>
      <c r="AA134" s="115"/>
      <c r="AB134" s="115"/>
      <c r="AC134" s="115"/>
      <c r="AD134" s="115"/>
      <c r="AE134" s="115"/>
      <c r="AF134" s="291"/>
      <c r="AG134" s="246">
        <v>43169</v>
      </c>
      <c r="AH134" s="133"/>
      <c r="AI134" s="132">
        <f t="shared" si="40"/>
        <v>568253</v>
      </c>
      <c r="AJ134" s="132">
        <f t="shared" si="41"/>
        <v>568253</v>
      </c>
      <c r="AK134" s="132">
        <f t="shared" si="42"/>
        <v>0</v>
      </c>
      <c r="AL134" s="176"/>
      <c r="AM134" s="133"/>
      <c r="AN134" s="246">
        <v>44841</v>
      </c>
      <c r="AO134" s="259"/>
    </row>
    <row r="135" s="187" customFormat="1" customHeight="1" spans="1:41">
      <c r="A135" s="115" t="s">
        <v>527</v>
      </c>
      <c r="B135" s="115" t="s">
        <v>528</v>
      </c>
      <c r="C135" s="193" t="s">
        <v>529</v>
      </c>
      <c r="D135" s="193" t="str">
        <f t="shared" si="43"/>
        <v>吕爱荣4101031654710170383</v>
      </c>
      <c r="E135" s="155" t="s">
        <v>530</v>
      </c>
      <c r="F135" s="115"/>
      <c r="G135" s="115">
        <v>3</v>
      </c>
      <c r="H135" s="115">
        <v>3</v>
      </c>
      <c r="I135" s="115">
        <v>16</v>
      </c>
      <c r="J135" s="115">
        <v>1613</v>
      </c>
      <c r="K135" s="115">
        <v>63.92</v>
      </c>
      <c r="L135" s="115">
        <v>20000</v>
      </c>
      <c r="M135" s="115"/>
      <c r="N135" s="115"/>
      <c r="O135" s="431">
        <v>12712</v>
      </c>
      <c r="P135" s="115">
        <f t="shared" si="44"/>
        <v>812551</v>
      </c>
      <c r="Q135" s="115" t="s">
        <v>56</v>
      </c>
      <c r="R135" s="115">
        <v>812551</v>
      </c>
      <c r="S135" s="115"/>
      <c r="T135" s="115" t="s">
        <v>47</v>
      </c>
      <c r="U135" s="115"/>
      <c r="V135" s="115"/>
      <c r="W135" s="115">
        <v>4154</v>
      </c>
      <c r="X135" s="115">
        <v>550</v>
      </c>
      <c r="Y135" s="115" t="s">
        <v>48</v>
      </c>
      <c r="Z135" s="115"/>
      <c r="AA135" s="115"/>
      <c r="AB135" s="115"/>
      <c r="AC135" s="115"/>
      <c r="AD135" s="115"/>
      <c r="AE135" s="115"/>
      <c r="AF135" s="291"/>
      <c r="AG135" s="246">
        <v>43981</v>
      </c>
      <c r="AH135" s="133"/>
      <c r="AI135" s="132">
        <f t="shared" si="40"/>
        <v>817255</v>
      </c>
      <c r="AJ135" s="132">
        <f t="shared" si="41"/>
        <v>817255</v>
      </c>
      <c r="AK135" s="132">
        <f t="shared" si="42"/>
        <v>0</v>
      </c>
      <c r="AL135" s="176"/>
      <c r="AM135" s="133"/>
      <c r="AN135" s="246">
        <v>44841</v>
      </c>
      <c r="AO135" s="259"/>
    </row>
    <row r="136" s="187" customFormat="1" customHeight="1" spans="1:41">
      <c r="A136" s="115" t="s">
        <v>531</v>
      </c>
      <c r="B136" s="115" t="s">
        <v>532</v>
      </c>
      <c r="C136" s="193" t="s">
        <v>533</v>
      </c>
      <c r="D136" s="193" t="str">
        <f t="shared" si="43"/>
        <v>周秀芳411022196801191044</v>
      </c>
      <c r="E136" s="155" t="s">
        <v>534</v>
      </c>
      <c r="F136" s="115"/>
      <c r="G136" s="115">
        <v>5</v>
      </c>
      <c r="H136" s="115"/>
      <c r="I136" s="115">
        <v>29</v>
      </c>
      <c r="J136" s="115">
        <v>2905</v>
      </c>
      <c r="K136" s="115">
        <v>61.01</v>
      </c>
      <c r="L136" s="115">
        <v>17900</v>
      </c>
      <c r="M136" s="115"/>
      <c r="N136" s="115"/>
      <c r="O136" s="431">
        <v>15900</v>
      </c>
      <c r="P136" s="115">
        <f t="shared" si="44"/>
        <v>970059</v>
      </c>
      <c r="Q136" s="115" t="s">
        <v>66</v>
      </c>
      <c r="R136" s="115">
        <v>300059</v>
      </c>
      <c r="S136" s="115"/>
      <c r="T136" s="115">
        <v>670000</v>
      </c>
      <c r="U136" s="115"/>
      <c r="V136" s="115"/>
      <c r="W136" s="115">
        <v>3965</v>
      </c>
      <c r="X136" s="115">
        <v>80</v>
      </c>
      <c r="Y136" s="115" t="s">
        <v>535</v>
      </c>
      <c r="Z136" s="115"/>
      <c r="AA136" s="115"/>
      <c r="AB136" s="115"/>
      <c r="AC136" s="115"/>
      <c r="AD136" s="115"/>
      <c r="AE136" s="115"/>
      <c r="AF136" s="291"/>
      <c r="AG136" s="246">
        <v>43158</v>
      </c>
      <c r="AH136" s="133">
        <f>AJ136</f>
        <v>304104</v>
      </c>
      <c r="AI136" s="132">
        <f t="shared" ref="AI136:AI139" si="45">R136+V136+W136+X136+AA136+AB136+AC136+AD136</f>
        <v>304104</v>
      </c>
      <c r="AJ136" s="132">
        <f t="shared" ref="AJ136:AJ139" si="46">R136+W136+V136+X136+AA136</f>
        <v>304104</v>
      </c>
      <c r="AK136" s="132">
        <f t="shared" ref="AK136:AK139" si="47">AI136-AJ136</f>
        <v>0</v>
      </c>
      <c r="AL136" s="176"/>
      <c r="AM136" s="133"/>
      <c r="AN136" s="246">
        <v>44841</v>
      </c>
      <c r="AO136" s="259"/>
    </row>
    <row r="137" s="187" customFormat="1" customHeight="1" spans="1:41">
      <c r="A137" s="115" t="s">
        <v>536</v>
      </c>
      <c r="B137" s="115" t="s">
        <v>537</v>
      </c>
      <c r="C137" s="193" t="s">
        <v>538</v>
      </c>
      <c r="D137" s="193" t="str">
        <f t="shared" si="43"/>
        <v>刘志刚410881197402040778</v>
      </c>
      <c r="E137" s="155">
        <v>13503710512</v>
      </c>
      <c r="F137" s="115"/>
      <c r="G137" s="115">
        <v>9</v>
      </c>
      <c r="H137" s="115">
        <v>3</v>
      </c>
      <c r="I137" s="115">
        <v>6</v>
      </c>
      <c r="J137" s="115">
        <v>601</v>
      </c>
      <c r="K137" s="115">
        <v>93.4</v>
      </c>
      <c r="L137" s="115">
        <v>10822</v>
      </c>
      <c r="M137" s="115"/>
      <c r="N137" s="115"/>
      <c r="O137" s="431">
        <v>8577.6</v>
      </c>
      <c r="P137" s="115">
        <f t="shared" si="44"/>
        <v>801148</v>
      </c>
      <c r="Q137" s="115" t="s">
        <v>46</v>
      </c>
      <c r="R137" s="115">
        <v>406148</v>
      </c>
      <c r="S137" s="115"/>
      <c r="T137" s="115" t="s">
        <v>47</v>
      </c>
      <c r="U137" s="115"/>
      <c r="V137" s="115">
        <v>395000</v>
      </c>
      <c r="W137" s="115">
        <v>6071</v>
      </c>
      <c r="X137" s="115">
        <v>80</v>
      </c>
      <c r="Y137" s="115" t="s">
        <v>48</v>
      </c>
      <c r="Z137" s="115"/>
      <c r="AA137" s="115"/>
      <c r="AB137" s="115">
        <v>1060</v>
      </c>
      <c r="AC137" s="115"/>
      <c r="AD137" s="115"/>
      <c r="AE137" s="115"/>
      <c r="AF137" s="291"/>
      <c r="AG137" s="246">
        <v>43135</v>
      </c>
      <c r="AH137" s="133">
        <f>R137+W137</f>
        <v>412219</v>
      </c>
      <c r="AI137" s="132">
        <f t="shared" si="45"/>
        <v>808359</v>
      </c>
      <c r="AJ137" s="132">
        <f t="shared" si="46"/>
        <v>807299</v>
      </c>
      <c r="AK137" s="132">
        <f t="shared" si="47"/>
        <v>1060</v>
      </c>
      <c r="AL137" s="176"/>
      <c r="AM137" s="133"/>
      <c r="AN137" s="246">
        <v>44841</v>
      </c>
      <c r="AO137" s="259"/>
    </row>
    <row r="138" s="187" customFormat="1" customHeight="1" spans="1:41">
      <c r="A138" s="115" t="s">
        <v>539</v>
      </c>
      <c r="B138" s="115" t="s">
        <v>540</v>
      </c>
      <c r="C138" s="193" t="s">
        <v>541</v>
      </c>
      <c r="D138" s="193" t="str">
        <f t="shared" si="43"/>
        <v>乔梁412728197907072833</v>
      </c>
      <c r="E138" s="155">
        <v>13014576916</v>
      </c>
      <c r="F138" s="115"/>
      <c r="G138" s="115">
        <v>3</v>
      </c>
      <c r="H138" s="115">
        <v>3</v>
      </c>
      <c r="I138" s="115">
        <v>10</v>
      </c>
      <c r="J138" s="115">
        <v>1022</v>
      </c>
      <c r="K138" s="115">
        <v>64.29</v>
      </c>
      <c r="L138" s="115">
        <v>20000</v>
      </c>
      <c r="M138" s="115"/>
      <c r="N138" s="115"/>
      <c r="O138" s="431">
        <v>8903.59</v>
      </c>
      <c r="P138" s="115">
        <f t="shared" si="44"/>
        <v>572412</v>
      </c>
      <c r="Q138" s="115" t="s">
        <v>66</v>
      </c>
      <c r="R138" s="115">
        <v>292412</v>
      </c>
      <c r="S138" s="115" t="s">
        <v>47</v>
      </c>
      <c r="T138" s="115"/>
      <c r="U138" s="115"/>
      <c r="V138" s="115">
        <v>280000</v>
      </c>
      <c r="W138" s="115">
        <v>4178</v>
      </c>
      <c r="X138" s="115">
        <v>550</v>
      </c>
      <c r="Y138" s="115" t="s">
        <v>48</v>
      </c>
      <c r="Z138" s="115"/>
      <c r="AA138" s="115"/>
      <c r="AB138" s="115"/>
      <c r="AC138" s="115"/>
      <c r="AD138" s="115">
        <v>0.85</v>
      </c>
      <c r="AE138" s="115"/>
      <c r="AF138" s="291"/>
      <c r="AG138" s="246">
        <v>43273</v>
      </c>
      <c r="AH138" s="133"/>
      <c r="AI138" s="132">
        <f t="shared" si="45"/>
        <v>577140.85</v>
      </c>
      <c r="AJ138" s="132">
        <f t="shared" si="46"/>
        <v>577140</v>
      </c>
      <c r="AK138" s="132">
        <f t="shared" si="47"/>
        <v>0.849999999976717</v>
      </c>
      <c r="AL138" s="176" t="s">
        <v>542</v>
      </c>
      <c r="AM138" s="133"/>
      <c r="AN138" s="246">
        <v>44841</v>
      </c>
      <c r="AO138" s="259"/>
    </row>
    <row r="139" s="187" customFormat="1" customHeight="1" spans="1:41">
      <c r="A139" s="115" t="s">
        <v>543</v>
      </c>
      <c r="B139" s="115" t="s">
        <v>544</v>
      </c>
      <c r="C139" s="193" t="s">
        <v>545</v>
      </c>
      <c r="D139" s="193" t="str">
        <f t="shared" si="43"/>
        <v>朱爱先410112195811174443</v>
      </c>
      <c r="E139" s="155">
        <v>17637150009</v>
      </c>
      <c r="F139" s="115"/>
      <c r="G139" s="115">
        <v>2</v>
      </c>
      <c r="H139" s="115">
        <v>2</v>
      </c>
      <c r="I139" s="115">
        <v>7</v>
      </c>
      <c r="J139" s="115">
        <v>715</v>
      </c>
      <c r="K139" s="115">
        <v>49.44</v>
      </c>
      <c r="L139" s="115">
        <v>20000</v>
      </c>
      <c r="M139" s="115"/>
      <c r="N139" s="115"/>
      <c r="O139" s="431">
        <v>9284.02</v>
      </c>
      <c r="P139" s="115">
        <f t="shared" si="44"/>
        <v>459002</v>
      </c>
      <c r="Q139" s="115" t="s">
        <v>66</v>
      </c>
      <c r="R139" s="115">
        <v>239002</v>
      </c>
      <c r="S139" s="115"/>
      <c r="T139" s="115"/>
      <c r="U139" s="115">
        <v>0</v>
      </c>
      <c r="V139" s="115">
        <v>220000</v>
      </c>
      <c r="W139" s="115">
        <v>3213</v>
      </c>
      <c r="X139" s="115">
        <v>550</v>
      </c>
      <c r="Y139" s="115" t="s">
        <v>48</v>
      </c>
      <c r="Z139" s="115"/>
      <c r="AA139" s="115"/>
      <c r="AB139" s="115"/>
      <c r="AC139" s="115"/>
      <c r="AD139" s="115"/>
      <c r="AE139" s="115"/>
      <c r="AF139" s="291"/>
      <c r="AG139" s="246">
        <v>43319</v>
      </c>
      <c r="AH139" s="133"/>
      <c r="AI139" s="132">
        <f t="shared" si="45"/>
        <v>462765</v>
      </c>
      <c r="AJ139" s="132">
        <f t="shared" si="46"/>
        <v>462765</v>
      </c>
      <c r="AK139" s="132">
        <f t="shared" si="47"/>
        <v>0</v>
      </c>
      <c r="AL139" s="176"/>
      <c r="AM139" s="133"/>
      <c r="AN139" s="246">
        <v>44841</v>
      </c>
      <c r="AO139" s="259"/>
    </row>
    <row r="140" s="187" customFormat="1" customHeight="1" spans="1:41">
      <c r="A140" s="115" t="s">
        <v>546</v>
      </c>
      <c r="B140" s="115" t="s">
        <v>547</v>
      </c>
      <c r="C140" s="193" t="s">
        <v>548</v>
      </c>
      <c r="D140" s="193" t="str">
        <f t="shared" si="43"/>
        <v>李葆泰410104194512181534</v>
      </c>
      <c r="E140" s="155" t="s">
        <v>549</v>
      </c>
      <c r="F140" s="115"/>
      <c r="G140" s="115">
        <v>3</v>
      </c>
      <c r="H140" s="115">
        <v>3</v>
      </c>
      <c r="I140" s="115">
        <v>20</v>
      </c>
      <c r="J140" s="115">
        <v>2030</v>
      </c>
      <c r="K140" s="115">
        <v>57.33</v>
      </c>
      <c r="L140" s="115">
        <v>30000</v>
      </c>
      <c r="M140" s="115"/>
      <c r="N140" s="115"/>
      <c r="O140" s="431">
        <v>12250</v>
      </c>
      <c r="P140" s="115">
        <v>702293</v>
      </c>
      <c r="Q140" s="115" t="s">
        <v>56</v>
      </c>
      <c r="R140" s="115">
        <v>702293</v>
      </c>
      <c r="S140" s="115"/>
      <c r="T140" s="115">
        <v>0</v>
      </c>
      <c r="U140" s="115">
        <v>0</v>
      </c>
      <c r="V140" s="115"/>
      <c r="W140" s="115"/>
      <c r="X140" s="115"/>
      <c r="Y140" s="115"/>
      <c r="Z140" s="115"/>
      <c r="AA140" s="115"/>
      <c r="AB140" s="115"/>
      <c r="AC140" s="115"/>
      <c r="AD140" s="115"/>
      <c r="AE140" s="115"/>
      <c r="AF140" s="291"/>
      <c r="AG140" s="246">
        <v>43063</v>
      </c>
      <c r="AH140" s="133"/>
      <c r="AI140" s="132">
        <f t="shared" ref="AI140:AI158" si="48">R140+V140+W140+X140+AA140+AB140+AC140+AD140</f>
        <v>702293</v>
      </c>
      <c r="AJ140" s="132">
        <f t="shared" ref="AJ140:AJ158" si="49">R140+W140+V140+X140+AA140</f>
        <v>702293</v>
      </c>
      <c r="AK140" s="132">
        <f t="shared" ref="AK140:AK158" si="50">AI140-AJ140</f>
        <v>0</v>
      </c>
      <c r="AL140" s="176"/>
      <c r="AM140" s="133"/>
      <c r="AN140" s="246">
        <v>44841</v>
      </c>
      <c r="AO140" s="259"/>
    </row>
    <row r="141" s="187" customFormat="1" customHeight="1" spans="1:41">
      <c r="A141" s="115" t="s">
        <v>550</v>
      </c>
      <c r="B141" s="115" t="s">
        <v>551</v>
      </c>
      <c r="C141" s="193" t="s">
        <v>552</v>
      </c>
      <c r="D141" s="193" t="str">
        <f t="shared" si="43"/>
        <v>杨琳410181198209195061</v>
      </c>
      <c r="E141" s="155">
        <v>13525564400</v>
      </c>
      <c r="F141" s="115"/>
      <c r="G141" s="115">
        <v>3</v>
      </c>
      <c r="H141" s="115">
        <v>3</v>
      </c>
      <c r="I141" s="115">
        <v>13</v>
      </c>
      <c r="J141" s="115">
        <v>1317</v>
      </c>
      <c r="K141" s="115">
        <v>68.25</v>
      </c>
      <c r="L141" s="115">
        <v>20000</v>
      </c>
      <c r="M141" s="115"/>
      <c r="N141" s="115"/>
      <c r="O141" s="431">
        <v>8699.9</v>
      </c>
      <c r="P141" s="115">
        <f>ROUND(O141*K141,0)</f>
        <v>593768</v>
      </c>
      <c r="Q141" s="115" t="s">
        <v>66</v>
      </c>
      <c r="R141" s="115">
        <v>393768</v>
      </c>
      <c r="S141" s="115"/>
      <c r="T141" s="115" t="s">
        <v>47</v>
      </c>
      <c r="U141" s="115"/>
      <c r="V141" s="115">
        <v>200000</v>
      </c>
      <c r="W141" s="115">
        <v>4436</v>
      </c>
      <c r="X141" s="115">
        <v>550</v>
      </c>
      <c r="Y141" s="115" t="s">
        <v>48</v>
      </c>
      <c r="Z141" s="115"/>
      <c r="AA141" s="115"/>
      <c r="AB141" s="115">
        <v>1570</v>
      </c>
      <c r="AC141" s="115"/>
      <c r="AD141" s="115"/>
      <c r="AE141" s="115"/>
      <c r="AF141" s="291"/>
      <c r="AG141" s="246">
        <v>43092</v>
      </c>
      <c r="AH141" s="133"/>
      <c r="AI141" s="132">
        <f t="shared" si="48"/>
        <v>600324</v>
      </c>
      <c r="AJ141" s="132">
        <f t="shared" si="49"/>
        <v>598754</v>
      </c>
      <c r="AK141" s="132">
        <f t="shared" si="50"/>
        <v>1570</v>
      </c>
      <c r="AL141" s="176"/>
      <c r="AM141" s="133"/>
      <c r="AN141" s="246">
        <v>44841</v>
      </c>
      <c r="AO141" s="259"/>
    </row>
    <row r="142" s="187" customFormat="1" customHeight="1" spans="1:41">
      <c r="A142" s="115" t="s">
        <v>553</v>
      </c>
      <c r="B142" s="115" t="s">
        <v>554</v>
      </c>
      <c r="C142" s="193" t="s">
        <v>555</v>
      </c>
      <c r="D142" s="193" t="str">
        <f t="shared" si="43"/>
        <v>周静静410823198903136648</v>
      </c>
      <c r="E142" s="155">
        <v>18638604005</v>
      </c>
      <c r="F142" s="115"/>
      <c r="G142" s="115">
        <v>3</v>
      </c>
      <c r="H142" s="115">
        <v>3</v>
      </c>
      <c r="I142" s="115">
        <v>13</v>
      </c>
      <c r="J142" s="115">
        <v>1316</v>
      </c>
      <c r="K142" s="115">
        <v>67.42</v>
      </c>
      <c r="L142" s="115">
        <v>20000</v>
      </c>
      <c r="M142" s="115"/>
      <c r="N142" s="115"/>
      <c r="O142" s="431">
        <v>8788.12</v>
      </c>
      <c r="P142" s="115">
        <f>ROUND(O142*K142,0)</f>
        <v>592495</v>
      </c>
      <c r="Q142" s="115" t="s">
        <v>66</v>
      </c>
      <c r="R142" s="115">
        <v>302495</v>
      </c>
      <c r="S142" s="115"/>
      <c r="T142" s="115">
        <v>290000</v>
      </c>
      <c r="U142" s="115"/>
      <c r="V142" s="115"/>
      <c r="W142" s="115">
        <v>4382</v>
      </c>
      <c r="X142" s="115">
        <v>550</v>
      </c>
      <c r="Y142" s="115"/>
      <c r="Z142" s="115"/>
      <c r="AA142" s="115"/>
      <c r="AB142" s="115"/>
      <c r="AC142" s="115"/>
      <c r="AD142" s="115">
        <f>618-550</f>
        <v>68</v>
      </c>
      <c r="AE142" s="115"/>
      <c r="AF142" s="291"/>
      <c r="AG142" s="246">
        <v>43094</v>
      </c>
      <c r="AH142" s="133">
        <f>AJ142</f>
        <v>307427</v>
      </c>
      <c r="AI142" s="132">
        <f t="shared" si="48"/>
        <v>307495</v>
      </c>
      <c r="AJ142" s="132">
        <f t="shared" si="49"/>
        <v>307427</v>
      </c>
      <c r="AK142" s="132">
        <f t="shared" si="50"/>
        <v>68</v>
      </c>
      <c r="AL142" s="176" t="s">
        <v>556</v>
      </c>
      <c r="AM142" s="133"/>
      <c r="AN142" s="246">
        <v>44841</v>
      </c>
      <c r="AO142" s="259"/>
    </row>
    <row r="143" s="187" customFormat="1" customHeight="1" spans="1:41">
      <c r="A143" s="115" t="s">
        <v>557</v>
      </c>
      <c r="B143" s="115" t="s">
        <v>558</v>
      </c>
      <c r="C143" s="193" t="s">
        <v>559</v>
      </c>
      <c r="D143" s="193" t="str">
        <f t="shared" si="43"/>
        <v>张荣花410523196902096028</v>
      </c>
      <c r="E143" s="155">
        <v>13837253043</v>
      </c>
      <c r="F143" s="115"/>
      <c r="G143" s="115">
        <v>6</v>
      </c>
      <c r="H143" s="115">
        <v>1</v>
      </c>
      <c r="I143" s="115">
        <v>15</v>
      </c>
      <c r="J143" s="115">
        <v>1506</v>
      </c>
      <c r="K143" s="115">
        <v>86.33</v>
      </c>
      <c r="L143" s="115">
        <v>17900</v>
      </c>
      <c r="M143" s="115"/>
      <c r="N143" s="115"/>
      <c r="O143" s="431">
        <v>15000</v>
      </c>
      <c r="P143" s="115">
        <f>ROUND(O143*K143,0)</f>
        <v>1294950</v>
      </c>
      <c r="Q143" s="115" t="s">
        <v>66</v>
      </c>
      <c r="R143" s="115">
        <v>664950</v>
      </c>
      <c r="S143" s="115"/>
      <c r="T143" s="115" t="s">
        <v>47</v>
      </c>
      <c r="U143" s="115"/>
      <c r="V143" s="115">
        <v>630000</v>
      </c>
      <c r="W143" s="115">
        <v>5611</v>
      </c>
      <c r="X143" s="115">
        <v>80</v>
      </c>
      <c r="Y143" s="115" t="s">
        <v>48</v>
      </c>
      <c r="Z143" s="115"/>
      <c r="AA143" s="115"/>
      <c r="AB143" s="115">
        <v>1283</v>
      </c>
      <c r="AC143" s="115"/>
      <c r="AD143" s="115"/>
      <c r="AE143" s="115" t="s">
        <v>560</v>
      </c>
      <c r="AF143" s="291"/>
      <c r="AG143" s="246">
        <v>43965</v>
      </c>
      <c r="AH143" s="133"/>
      <c r="AI143" s="132">
        <f t="shared" si="48"/>
        <v>1301924</v>
      </c>
      <c r="AJ143" s="132">
        <f t="shared" si="49"/>
        <v>1300641</v>
      </c>
      <c r="AK143" s="132">
        <f t="shared" si="50"/>
        <v>1283</v>
      </c>
      <c r="AL143" s="176"/>
      <c r="AM143" s="133"/>
      <c r="AN143" s="246">
        <v>44841</v>
      </c>
      <c r="AO143" s="259"/>
    </row>
    <row r="144" s="187" customFormat="1" customHeight="1" spans="1:41">
      <c r="A144" s="115" t="s">
        <v>561</v>
      </c>
      <c r="B144" s="115" t="s">
        <v>562</v>
      </c>
      <c r="C144" s="193" t="s">
        <v>563</v>
      </c>
      <c r="D144" s="193" t="str">
        <f t="shared" si="43"/>
        <v>张建伟412722198110147355</v>
      </c>
      <c r="E144" s="155" t="s">
        <v>564</v>
      </c>
      <c r="F144" s="115"/>
      <c r="G144" s="115">
        <v>2</v>
      </c>
      <c r="H144" s="115">
        <v>2</v>
      </c>
      <c r="I144" s="115">
        <v>20</v>
      </c>
      <c r="J144" s="115">
        <v>2014</v>
      </c>
      <c r="K144" s="115">
        <v>47.97</v>
      </c>
      <c r="L144" s="115">
        <v>30000</v>
      </c>
      <c r="M144" s="115"/>
      <c r="N144" s="115"/>
      <c r="O144" s="431">
        <v>15071.92</v>
      </c>
      <c r="P144" s="115">
        <f>ROUND(O144*K144,0)</f>
        <v>723000</v>
      </c>
      <c r="Q144" s="115" t="s">
        <v>66</v>
      </c>
      <c r="R144" s="115">
        <v>363000</v>
      </c>
      <c r="S144" s="115"/>
      <c r="T144" s="115">
        <v>360000</v>
      </c>
      <c r="U144" s="115"/>
      <c r="V144" s="115"/>
      <c r="W144" s="115">
        <v>3118</v>
      </c>
      <c r="X144" s="115">
        <v>550</v>
      </c>
      <c r="Y144" s="115"/>
      <c r="Z144" s="115"/>
      <c r="AA144" s="115"/>
      <c r="AB144" s="115"/>
      <c r="AC144" s="115"/>
      <c r="AD144" s="115"/>
      <c r="AE144" s="115"/>
      <c r="AF144" s="291"/>
      <c r="AG144" s="246">
        <v>43289</v>
      </c>
      <c r="AH144" s="133">
        <f>AJ144</f>
        <v>366668</v>
      </c>
      <c r="AI144" s="132">
        <f t="shared" si="48"/>
        <v>366668</v>
      </c>
      <c r="AJ144" s="132">
        <f t="shared" si="49"/>
        <v>366668</v>
      </c>
      <c r="AK144" s="132">
        <f t="shared" si="50"/>
        <v>0</v>
      </c>
      <c r="AL144" s="176"/>
      <c r="AM144" s="133"/>
      <c r="AN144" s="246">
        <v>44841</v>
      </c>
      <c r="AO144" s="259"/>
    </row>
    <row r="145" s="187" customFormat="1" customHeight="1" spans="1:41">
      <c r="A145" s="115" t="s">
        <v>565</v>
      </c>
      <c r="B145" s="115" t="s">
        <v>566</v>
      </c>
      <c r="C145" s="193" t="s">
        <v>567</v>
      </c>
      <c r="D145" s="193" t="str">
        <f t="shared" si="43"/>
        <v>吴喜琴410123196510160623</v>
      </c>
      <c r="E145" s="155" t="s">
        <v>568</v>
      </c>
      <c r="F145" s="115"/>
      <c r="G145" s="115">
        <v>9</v>
      </c>
      <c r="H145" s="115">
        <v>3</v>
      </c>
      <c r="I145" s="115">
        <v>31</v>
      </c>
      <c r="J145" s="115">
        <v>3101</v>
      </c>
      <c r="K145" s="115">
        <v>93.4</v>
      </c>
      <c r="L145" s="115">
        <v>17900</v>
      </c>
      <c r="M145" s="115"/>
      <c r="N145" s="115"/>
      <c r="O145" s="431">
        <v>13800</v>
      </c>
      <c r="P145" s="115">
        <v>1288920</v>
      </c>
      <c r="Q145" s="115" t="s">
        <v>56</v>
      </c>
      <c r="R145" s="115">
        <v>1292429</v>
      </c>
      <c r="S145" s="115">
        <v>-3509</v>
      </c>
      <c r="T145" s="115" t="s">
        <v>47</v>
      </c>
      <c r="U145" s="115"/>
      <c r="V145" s="115"/>
      <c r="W145" s="115">
        <v>6071</v>
      </c>
      <c r="X145" s="115">
        <v>80</v>
      </c>
      <c r="Y145" s="115" t="s">
        <v>48</v>
      </c>
      <c r="Z145" s="115"/>
      <c r="AA145" s="115"/>
      <c r="AB145" s="115"/>
      <c r="AC145" s="115"/>
      <c r="AD145" s="115"/>
      <c r="AE145" s="115"/>
      <c r="AF145" s="291"/>
      <c r="AG145" s="246">
        <v>42794</v>
      </c>
      <c r="AH145" s="133"/>
      <c r="AI145" s="132">
        <f t="shared" si="48"/>
        <v>1298580</v>
      </c>
      <c r="AJ145" s="132">
        <f t="shared" si="49"/>
        <v>1298580</v>
      </c>
      <c r="AK145" s="132">
        <f t="shared" si="50"/>
        <v>0</v>
      </c>
      <c r="AL145" s="176"/>
      <c r="AM145" s="133"/>
      <c r="AN145" s="246">
        <v>44841</v>
      </c>
      <c r="AO145" s="259"/>
    </row>
    <row r="146" s="187" customFormat="1" customHeight="1" spans="1:41">
      <c r="A146" s="115" t="s">
        <v>569</v>
      </c>
      <c r="B146" s="115" t="s">
        <v>570</v>
      </c>
      <c r="C146" s="193" t="s">
        <v>571</v>
      </c>
      <c r="D146" s="193" t="str">
        <f t="shared" si="43"/>
        <v>刘帅412721199205243815</v>
      </c>
      <c r="E146" s="155" t="s">
        <v>572</v>
      </c>
      <c r="F146" s="115" t="s">
        <v>573</v>
      </c>
      <c r="G146" s="115">
        <v>3</v>
      </c>
      <c r="H146" s="115">
        <v>3</v>
      </c>
      <c r="I146" s="115">
        <v>19</v>
      </c>
      <c r="J146" s="115">
        <v>1902</v>
      </c>
      <c r="K146" s="115">
        <v>47.59</v>
      </c>
      <c r="L146" s="115">
        <v>30000</v>
      </c>
      <c r="M146" s="115"/>
      <c r="N146" s="115"/>
      <c r="O146" s="431">
        <v>14364.55</v>
      </c>
      <c r="P146" s="115">
        <f t="shared" ref="P146:P169" si="51">ROUND(O146*K146,0)</f>
        <v>683609</v>
      </c>
      <c r="Q146" s="115" t="s">
        <v>56</v>
      </c>
      <c r="R146" s="115">
        <v>683609</v>
      </c>
      <c r="S146" s="115"/>
      <c r="T146" s="115" t="s">
        <v>47</v>
      </c>
      <c r="U146" s="115"/>
      <c r="V146" s="115"/>
      <c r="W146" s="115">
        <v>3093</v>
      </c>
      <c r="X146" s="115">
        <v>550</v>
      </c>
      <c r="Y146" s="115" t="s">
        <v>48</v>
      </c>
      <c r="Z146" s="115"/>
      <c r="AA146" s="115"/>
      <c r="AB146" s="115"/>
      <c r="AC146" s="115"/>
      <c r="AD146" s="115"/>
      <c r="AE146" s="115"/>
      <c r="AF146" s="291"/>
      <c r="AG146" s="246">
        <v>43111</v>
      </c>
      <c r="AH146" s="133"/>
      <c r="AI146" s="132">
        <f t="shared" si="48"/>
        <v>687252</v>
      </c>
      <c r="AJ146" s="132">
        <f t="shared" si="49"/>
        <v>687252</v>
      </c>
      <c r="AK146" s="132">
        <f t="shared" si="50"/>
        <v>0</v>
      </c>
      <c r="AL146" s="176"/>
      <c r="AM146" s="133"/>
      <c r="AN146" s="246">
        <v>44841</v>
      </c>
      <c r="AO146" s="259"/>
    </row>
    <row r="147" s="187" customFormat="1" customHeight="1" spans="1:41">
      <c r="A147" s="115" t="s">
        <v>574</v>
      </c>
      <c r="B147" s="115" t="s">
        <v>575</v>
      </c>
      <c r="C147" s="193" t="s">
        <v>576</v>
      </c>
      <c r="D147" s="193" t="str">
        <f t="shared" si="43"/>
        <v>陈晓娟411523198809180049</v>
      </c>
      <c r="E147" s="155">
        <v>15890060320</v>
      </c>
      <c r="F147" s="115"/>
      <c r="G147" s="115">
        <v>3</v>
      </c>
      <c r="H147" s="115">
        <v>3</v>
      </c>
      <c r="I147" s="115">
        <v>15</v>
      </c>
      <c r="J147" s="115">
        <v>1527</v>
      </c>
      <c r="K147" s="115">
        <v>58.41</v>
      </c>
      <c r="L147" s="115">
        <v>20000</v>
      </c>
      <c r="M147" s="115"/>
      <c r="N147" s="115"/>
      <c r="O147" s="431">
        <v>11588.58</v>
      </c>
      <c r="P147" s="115">
        <f t="shared" si="51"/>
        <v>676889</v>
      </c>
      <c r="Q147" s="115" t="s">
        <v>66</v>
      </c>
      <c r="R147" s="115">
        <v>346889</v>
      </c>
      <c r="S147" s="115"/>
      <c r="T147" s="115" t="s">
        <v>47</v>
      </c>
      <c r="U147" s="115"/>
      <c r="V147" s="115">
        <v>330000</v>
      </c>
      <c r="W147" s="115">
        <v>3796</v>
      </c>
      <c r="X147" s="115">
        <v>550</v>
      </c>
      <c r="Y147" s="115" t="s">
        <v>48</v>
      </c>
      <c r="Z147" s="115"/>
      <c r="AA147" s="115"/>
      <c r="AB147" s="115">
        <v>4583</v>
      </c>
      <c r="AC147" s="115"/>
      <c r="AD147" s="115"/>
      <c r="AE147" s="115" t="s">
        <v>123</v>
      </c>
      <c r="AF147" s="291"/>
      <c r="AG147" s="246">
        <v>43070</v>
      </c>
      <c r="AH147" s="133"/>
      <c r="AI147" s="132">
        <f t="shared" si="48"/>
        <v>685818</v>
      </c>
      <c r="AJ147" s="132">
        <f t="shared" si="49"/>
        <v>681235</v>
      </c>
      <c r="AK147" s="132">
        <f t="shared" si="50"/>
        <v>4583</v>
      </c>
      <c r="AL147" s="176"/>
      <c r="AM147" s="133"/>
      <c r="AN147" s="246">
        <v>44841</v>
      </c>
      <c r="AO147" s="259"/>
    </row>
    <row r="148" s="187" customFormat="1" customHeight="1" spans="1:41">
      <c r="A148" s="115" t="s">
        <v>577</v>
      </c>
      <c r="B148" s="115" t="s">
        <v>578</v>
      </c>
      <c r="C148" s="193" t="s">
        <v>579</v>
      </c>
      <c r="D148" s="193" t="str">
        <f t="shared" si="43"/>
        <v>陈嘉琪410526200402200325</v>
      </c>
      <c r="E148" s="155">
        <v>15617424269</v>
      </c>
      <c r="F148" s="115"/>
      <c r="G148" s="115">
        <v>3</v>
      </c>
      <c r="H148" s="115">
        <v>3</v>
      </c>
      <c r="I148" s="115">
        <v>8</v>
      </c>
      <c r="J148" s="115">
        <v>805</v>
      </c>
      <c r="K148" s="115">
        <v>59.91</v>
      </c>
      <c r="L148" s="115">
        <v>20000</v>
      </c>
      <c r="M148" s="115"/>
      <c r="N148" s="115"/>
      <c r="O148" s="431">
        <v>9119.48</v>
      </c>
      <c r="P148" s="115">
        <f t="shared" si="51"/>
        <v>546348</v>
      </c>
      <c r="Q148" s="115" t="s">
        <v>56</v>
      </c>
      <c r="R148" s="115">
        <v>546348</v>
      </c>
      <c r="S148" s="115"/>
      <c r="T148" s="115" t="s">
        <v>47</v>
      </c>
      <c r="U148" s="115"/>
      <c r="V148" s="115"/>
      <c r="W148" s="115">
        <v>3894</v>
      </c>
      <c r="X148" s="115">
        <v>550</v>
      </c>
      <c r="Y148" s="115" t="s">
        <v>48</v>
      </c>
      <c r="Z148" s="115"/>
      <c r="AA148" s="115"/>
      <c r="AB148" s="115"/>
      <c r="AC148" s="115"/>
      <c r="AD148" s="115"/>
      <c r="AE148" s="115"/>
      <c r="AF148" s="291"/>
      <c r="AG148" s="246">
        <v>43189</v>
      </c>
      <c r="AH148" s="133">
        <v>4444</v>
      </c>
      <c r="AI148" s="132">
        <f t="shared" si="48"/>
        <v>550792</v>
      </c>
      <c r="AJ148" s="132">
        <f t="shared" si="49"/>
        <v>550792</v>
      </c>
      <c r="AK148" s="132">
        <f t="shared" si="50"/>
        <v>0</v>
      </c>
      <c r="AL148" s="176"/>
      <c r="AM148" s="133"/>
      <c r="AN148" s="246">
        <v>44841</v>
      </c>
      <c r="AO148" s="259"/>
    </row>
    <row r="149" s="187" customFormat="1" customHeight="1" spans="1:41">
      <c r="A149" s="115" t="s">
        <v>580</v>
      </c>
      <c r="B149" s="115" t="s">
        <v>581</v>
      </c>
      <c r="C149" s="193" t="s">
        <v>582</v>
      </c>
      <c r="D149" s="193" t="str">
        <f t="shared" si="43"/>
        <v>张永红412724197108183371</v>
      </c>
      <c r="E149" s="155">
        <v>15938666777</v>
      </c>
      <c r="F149" s="115"/>
      <c r="G149" s="115">
        <v>3</v>
      </c>
      <c r="H149" s="115">
        <v>3</v>
      </c>
      <c r="I149" s="115">
        <v>10</v>
      </c>
      <c r="J149" s="115">
        <v>1027</v>
      </c>
      <c r="K149" s="115">
        <v>58.41</v>
      </c>
      <c r="L149" s="115">
        <v>20000</v>
      </c>
      <c r="M149" s="115"/>
      <c r="N149" s="115"/>
      <c r="O149" s="431">
        <v>9584.59</v>
      </c>
      <c r="P149" s="115">
        <f t="shared" si="51"/>
        <v>559836</v>
      </c>
      <c r="Q149" s="115" t="s">
        <v>66</v>
      </c>
      <c r="R149" s="115">
        <v>289836</v>
      </c>
      <c r="S149" s="115"/>
      <c r="T149" s="115" t="s">
        <v>47</v>
      </c>
      <c r="U149" s="115"/>
      <c r="V149" s="115">
        <v>270000</v>
      </c>
      <c r="W149" s="115">
        <v>3797</v>
      </c>
      <c r="X149" s="115">
        <v>550</v>
      </c>
      <c r="Y149" s="115" t="s">
        <v>48</v>
      </c>
      <c r="Z149" s="115"/>
      <c r="AA149" s="115"/>
      <c r="AB149" s="115">
        <v>1577</v>
      </c>
      <c r="AC149" s="115"/>
      <c r="AD149" s="115"/>
      <c r="AE149" s="115" t="s">
        <v>560</v>
      </c>
      <c r="AF149" s="291"/>
      <c r="AG149" s="246">
        <v>43066</v>
      </c>
      <c r="AH149" s="133">
        <f>R149+W149+X149</f>
        <v>294183</v>
      </c>
      <c r="AI149" s="132">
        <f t="shared" si="48"/>
        <v>565760</v>
      </c>
      <c r="AJ149" s="132">
        <f t="shared" si="49"/>
        <v>564183</v>
      </c>
      <c r="AK149" s="132">
        <f t="shared" si="50"/>
        <v>1577</v>
      </c>
      <c r="AL149" s="176"/>
      <c r="AM149" s="133"/>
      <c r="AN149" s="246">
        <v>44841</v>
      </c>
      <c r="AO149" s="259"/>
    </row>
    <row r="150" s="187" customFormat="1" customHeight="1" spans="1:41">
      <c r="A150" s="115" t="s">
        <v>583</v>
      </c>
      <c r="B150" s="115" t="s">
        <v>584</v>
      </c>
      <c r="C150" s="193" t="s">
        <v>585</v>
      </c>
      <c r="D150" s="193" t="str">
        <f t="shared" si="43"/>
        <v>刘玉梅412724197406145840</v>
      </c>
      <c r="E150" s="155">
        <v>13838666562</v>
      </c>
      <c r="F150" s="115"/>
      <c r="G150" s="115">
        <v>2</v>
      </c>
      <c r="H150" s="115">
        <v>2</v>
      </c>
      <c r="I150" s="115">
        <v>8</v>
      </c>
      <c r="J150" s="115">
        <v>829</v>
      </c>
      <c r="K150" s="115">
        <v>50.2</v>
      </c>
      <c r="L150" s="115">
        <v>20000</v>
      </c>
      <c r="M150" s="115"/>
      <c r="N150" s="115"/>
      <c r="O150" s="431">
        <v>9445.01</v>
      </c>
      <c r="P150" s="115">
        <f t="shared" si="51"/>
        <v>474140</v>
      </c>
      <c r="Q150" s="115" t="s">
        <v>66</v>
      </c>
      <c r="R150" s="115">
        <v>254140</v>
      </c>
      <c r="S150" s="115"/>
      <c r="T150" s="115">
        <v>220000</v>
      </c>
      <c r="U150" s="115"/>
      <c r="V150" s="115"/>
      <c r="W150" s="115">
        <v>3263</v>
      </c>
      <c r="X150" s="115">
        <v>550</v>
      </c>
      <c r="Y150" s="115" t="s">
        <v>48</v>
      </c>
      <c r="Z150" s="115"/>
      <c r="AA150" s="115"/>
      <c r="AB150" s="115">
        <v>1572</v>
      </c>
      <c r="AC150" s="115"/>
      <c r="AD150" s="115"/>
      <c r="AE150" s="115"/>
      <c r="AF150" s="291"/>
      <c r="AG150" s="246">
        <v>43069</v>
      </c>
      <c r="AH150" s="133">
        <f>R150+W150+X150</f>
        <v>257953</v>
      </c>
      <c r="AI150" s="132">
        <f t="shared" si="48"/>
        <v>259525</v>
      </c>
      <c r="AJ150" s="132">
        <f t="shared" si="49"/>
        <v>257953</v>
      </c>
      <c r="AK150" s="132">
        <f t="shared" si="50"/>
        <v>1572</v>
      </c>
      <c r="AL150" s="176"/>
      <c r="AM150" s="133"/>
      <c r="AN150" s="246">
        <v>44841</v>
      </c>
      <c r="AO150" s="259"/>
    </row>
    <row r="151" s="187" customFormat="1" customHeight="1" spans="1:41">
      <c r="A151" s="115" t="s">
        <v>586</v>
      </c>
      <c r="B151" s="115" t="s">
        <v>587</v>
      </c>
      <c r="C151" s="193" t="s">
        <v>588</v>
      </c>
      <c r="D151" s="193" t="str">
        <f t="shared" si="43"/>
        <v>刘振强410105199109140176</v>
      </c>
      <c r="E151" s="155">
        <v>13592579975</v>
      </c>
      <c r="F151" s="115"/>
      <c r="G151" s="115">
        <v>3</v>
      </c>
      <c r="H151" s="115">
        <v>3</v>
      </c>
      <c r="I151" s="115">
        <v>7</v>
      </c>
      <c r="J151" s="115">
        <v>704</v>
      </c>
      <c r="K151" s="115">
        <v>56.57</v>
      </c>
      <c r="L151" s="115">
        <v>20000</v>
      </c>
      <c r="M151" s="115"/>
      <c r="N151" s="115"/>
      <c r="O151" s="431">
        <v>9360.58</v>
      </c>
      <c r="P151" s="115">
        <f t="shared" si="51"/>
        <v>529528</v>
      </c>
      <c r="Q151" s="115" t="s">
        <v>66</v>
      </c>
      <c r="R151" s="115">
        <v>269528</v>
      </c>
      <c r="S151" s="115"/>
      <c r="T151" s="115" t="s">
        <v>47</v>
      </c>
      <c r="U151" s="115"/>
      <c r="V151" s="115">
        <v>260000</v>
      </c>
      <c r="W151" s="115">
        <v>3677</v>
      </c>
      <c r="X151" s="115">
        <v>550</v>
      </c>
      <c r="Y151" s="115" t="s">
        <v>48</v>
      </c>
      <c r="Z151" s="115"/>
      <c r="AA151" s="115"/>
      <c r="AB151" s="115">
        <v>1576</v>
      </c>
      <c r="AC151" s="115"/>
      <c r="AD151" s="115"/>
      <c r="AE151" s="115"/>
      <c r="AF151" s="291"/>
      <c r="AG151" s="246">
        <v>43068</v>
      </c>
      <c r="AH151" s="133">
        <f>R151+W151+X151</f>
        <v>273755</v>
      </c>
      <c r="AI151" s="132">
        <f t="shared" si="48"/>
        <v>535331</v>
      </c>
      <c r="AJ151" s="132">
        <f t="shared" si="49"/>
        <v>533755</v>
      </c>
      <c r="AK151" s="132">
        <f t="shared" si="50"/>
        <v>1576</v>
      </c>
      <c r="AL151" s="176"/>
      <c r="AM151" s="133"/>
      <c r="AN151" s="246">
        <v>44841</v>
      </c>
      <c r="AO151" s="259"/>
    </row>
    <row r="152" s="187" customFormat="1" customHeight="1" spans="1:41">
      <c r="A152" s="115" t="s">
        <v>589</v>
      </c>
      <c r="B152" s="115" t="s">
        <v>590</v>
      </c>
      <c r="C152" s="546" t="s">
        <v>591</v>
      </c>
      <c r="D152" s="193" t="str">
        <f t="shared" si="43"/>
        <v>韩玉申412726198011024590</v>
      </c>
      <c r="E152" s="155">
        <v>13333948199</v>
      </c>
      <c r="F152" s="115"/>
      <c r="G152" s="115">
        <v>10</v>
      </c>
      <c r="H152" s="115">
        <v>2</v>
      </c>
      <c r="I152" s="115">
        <v>24</v>
      </c>
      <c r="J152" s="115">
        <v>2406</v>
      </c>
      <c r="K152" s="115">
        <v>99.52</v>
      </c>
      <c r="L152" s="115">
        <v>8650</v>
      </c>
      <c r="M152" s="115"/>
      <c r="N152" s="115"/>
      <c r="O152" s="431">
        <v>8550</v>
      </c>
      <c r="P152" s="115">
        <f t="shared" si="51"/>
        <v>850896</v>
      </c>
      <c r="Q152" s="115" t="s">
        <v>66</v>
      </c>
      <c r="R152" s="115">
        <v>268345</v>
      </c>
      <c r="S152" s="115"/>
      <c r="T152" s="115">
        <v>582551</v>
      </c>
      <c r="U152" s="115"/>
      <c r="V152" s="115"/>
      <c r="W152" s="115"/>
      <c r="X152" s="115"/>
      <c r="Y152" s="115"/>
      <c r="Z152" s="115"/>
      <c r="AA152" s="115"/>
      <c r="AB152" s="115"/>
      <c r="AC152" s="115"/>
      <c r="AD152" s="115"/>
      <c r="AE152" s="115"/>
      <c r="AF152" s="291"/>
      <c r="AG152" s="246">
        <v>42161</v>
      </c>
      <c r="AH152" s="133">
        <f>AJ152</f>
        <v>268345</v>
      </c>
      <c r="AI152" s="132">
        <f t="shared" si="48"/>
        <v>268345</v>
      </c>
      <c r="AJ152" s="132">
        <f t="shared" si="49"/>
        <v>268345</v>
      </c>
      <c r="AK152" s="132">
        <f t="shared" si="50"/>
        <v>0</v>
      </c>
      <c r="AL152" s="176"/>
      <c r="AM152" s="133"/>
      <c r="AN152" s="246">
        <v>44841</v>
      </c>
      <c r="AO152" s="259"/>
    </row>
    <row r="153" s="187" customFormat="1" customHeight="1" spans="1:41">
      <c r="A153" s="115" t="s">
        <v>592</v>
      </c>
      <c r="B153" s="115" t="s">
        <v>593</v>
      </c>
      <c r="C153" s="193" t="s">
        <v>594</v>
      </c>
      <c r="D153" s="193" t="str">
        <f t="shared" si="43"/>
        <v>刘兰英410802197002183029</v>
      </c>
      <c r="E153" s="155">
        <v>15617424269</v>
      </c>
      <c r="F153" s="115"/>
      <c r="G153" s="115">
        <v>10</v>
      </c>
      <c r="H153" s="115">
        <v>2</v>
      </c>
      <c r="I153" s="115">
        <v>16</v>
      </c>
      <c r="J153" s="115">
        <v>1605</v>
      </c>
      <c r="K153" s="115">
        <v>93.84</v>
      </c>
      <c r="L153" s="115">
        <v>9100</v>
      </c>
      <c r="M153" s="115"/>
      <c r="N153" s="115"/>
      <c r="O153" s="431">
        <v>9000</v>
      </c>
      <c r="P153" s="115">
        <f t="shared" si="51"/>
        <v>844560</v>
      </c>
      <c r="Q153" s="115" t="s">
        <v>56</v>
      </c>
      <c r="R153" s="115">
        <v>844560</v>
      </c>
      <c r="S153" s="115"/>
      <c r="T153" s="115" t="s">
        <v>47</v>
      </c>
      <c r="U153" s="115"/>
      <c r="V153" s="115"/>
      <c r="W153" s="115">
        <v>6099</v>
      </c>
      <c r="X153" s="115">
        <v>80</v>
      </c>
      <c r="Y153" s="115" t="s">
        <v>48</v>
      </c>
      <c r="Z153" s="115"/>
      <c r="AA153" s="115"/>
      <c r="AB153" s="115"/>
      <c r="AC153" s="115"/>
      <c r="AD153" s="115"/>
      <c r="AE153" s="115"/>
      <c r="AF153" s="291"/>
      <c r="AG153" s="246">
        <v>43973</v>
      </c>
      <c r="AH153" s="133"/>
      <c r="AI153" s="132">
        <f t="shared" si="48"/>
        <v>850739</v>
      </c>
      <c r="AJ153" s="132">
        <f t="shared" si="49"/>
        <v>850739</v>
      </c>
      <c r="AK153" s="132">
        <f t="shared" si="50"/>
        <v>0</v>
      </c>
      <c r="AL153" s="176"/>
      <c r="AM153" s="133"/>
      <c r="AN153" s="246">
        <v>44841</v>
      </c>
      <c r="AO153" s="259"/>
    </row>
    <row r="154" s="187" customFormat="1" customHeight="1" spans="1:41">
      <c r="A154" s="115" t="s">
        <v>595</v>
      </c>
      <c r="B154" s="115" t="s">
        <v>596</v>
      </c>
      <c r="C154" s="193" t="s">
        <v>597</v>
      </c>
      <c r="D154" s="193" t="str">
        <f t="shared" si="43"/>
        <v>康曼410502198902050529</v>
      </c>
      <c r="E154" s="155" t="s">
        <v>598</v>
      </c>
      <c r="F154" s="115"/>
      <c r="G154" s="115">
        <v>3</v>
      </c>
      <c r="H154" s="115">
        <v>3</v>
      </c>
      <c r="I154" s="115">
        <v>15</v>
      </c>
      <c r="J154" s="115">
        <v>1533</v>
      </c>
      <c r="K154" s="115">
        <v>55.05</v>
      </c>
      <c r="L154" s="115">
        <v>20000</v>
      </c>
      <c r="M154" s="115"/>
      <c r="N154" s="115"/>
      <c r="O154" s="431">
        <v>9852.15</v>
      </c>
      <c r="P154" s="115">
        <f t="shared" si="51"/>
        <v>542361</v>
      </c>
      <c r="Q154" s="115" t="s">
        <v>56</v>
      </c>
      <c r="R154" s="115">
        <v>542361</v>
      </c>
      <c r="S154" s="115"/>
      <c r="T154" s="115" t="s">
        <v>47</v>
      </c>
      <c r="U154" s="115"/>
      <c r="V154" s="115"/>
      <c r="W154" s="115">
        <v>3578</v>
      </c>
      <c r="X154" s="115">
        <v>550</v>
      </c>
      <c r="Y154" s="115" t="s">
        <v>48</v>
      </c>
      <c r="Z154" s="115"/>
      <c r="AA154" s="115"/>
      <c r="AB154" s="115"/>
      <c r="AC154" s="115"/>
      <c r="AD154" s="115"/>
      <c r="AE154" s="115"/>
      <c r="AF154" s="291"/>
      <c r="AG154" s="246">
        <v>43125</v>
      </c>
      <c r="AH154" s="133"/>
      <c r="AI154" s="132">
        <f t="shared" si="48"/>
        <v>546489</v>
      </c>
      <c r="AJ154" s="132">
        <f t="shared" si="49"/>
        <v>546489</v>
      </c>
      <c r="AK154" s="132">
        <f t="shared" si="50"/>
        <v>0</v>
      </c>
      <c r="AL154" s="176"/>
      <c r="AM154" s="133"/>
      <c r="AN154" s="246">
        <v>44841</v>
      </c>
      <c r="AO154" s="259"/>
    </row>
    <row r="155" s="187" customFormat="1" customHeight="1" spans="1:41">
      <c r="A155" s="115" t="s">
        <v>599</v>
      </c>
      <c r="B155" s="115" t="s">
        <v>600</v>
      </c>
      <c r="C155" s="193" t="s">
        <v>601</v>
      </c>
      <c r="D155" s="193" t="str">
        <f t="shared" si="43"/>
        <v>刘涵41050219991023500X</v>
      </c>
      <c r="E155" s="155" t="s">
        <v>602</v>
      </c>
      <c r="F155" s="115"/>
      <c r="G155" s="115">
        <v>3</v>
      </c>
      <c r="H155" s="115">
        <v>3</v>
      </c>
      <c r="I155" s="115">
        <v>15</v>
      </c>
      <c r="J155" s="115">
        <v>1532</v>
      </c>
      <c r="K155" s="115">
        <v>55.78</v>
      </c>
      <c r="L155" s="115">
        <v>20000</v>
      </c>
      <c r="M155" s="115"/>
      <c r="N155" s="115"/>
      <c r="O155" s="431">
        <v>9804.25</v>
      </c>
      <c r="P155" s="115">
        <f t="shared" si="51"/>
        <v>546881</v>
      </c>
      <c r="Q155" s="115" t="s">
        <v>56</v>
      </c>
      <c r="R155" s="115">
        <v>546881</v>
      </c>
      <c r="S155" s="115"/>
      <c r="T155" s="115" t="s">
        <v>47</v>
      </c>
      <c r="U155" s="115"/>
      <c r="V155" s="115"/>
      <c r="W155" s="115">
        <v>3625</v>
      </c>
      <c r="X155" s="115">
        <v>550</v>
      </c>
      <c r="Y155" s="115" t="s">
        <v>48</v>
      </c>
      <c r="Z155" s="115"/>
      <c r="AA155" s="115"/>
      <c r="AB155" s="115"/>
      <c r="AC155" s="115"/>
      <c r="AD155" s="115"/>
      <c r="AE155" s="115" t="s">
        <v>123</v>
      </c>
      <c r="AF155" s="291"/>
      <c r="AG155" s="246">
        <v>43125</v>
      </c>
      <c r="AH155" s="133">
        <f>AJ155</f>
        <v>551056</v>
      </c>
      <c r="AI155" s="132">
        <f t="shared" si="48"/>
        <v>551056</v>
      </c>
      <c r="AJ155" s="132">
        <f t="shared" si="49"/>
        <v>551056</v>
      </c>
      <c r="AK155" s="132">
        <f t="shared" si="50"/>
        <v>0</v>
      </c>
      <c r="AL155" s="176"/>
      <c r="AM155" s="133"/>
      <c r="AN155" s="246">
        <v>44841</v>
      </c>
      <c r="AO155" s="259"/>
    </row>
    <row r="156" s="187" customFormat="1" customHeight="1" spans="1:41">
      <c r="A156" s="115" t="s">
        <v>603</v>
      </c>
      <c r="B156" s="115" t="s">
        <v>604</v>
      </c>
      <c r="C156" s="193" t="s">
        <v>605</v>
      </c>
      <c r="D156" s="193" t="str">
        <f t="shared" si="43"/>
        <v>王保莲410112196207154424</v>
      </c>
      <c r="E156" s="155">
        <v>13526748203</v>
      </c>
      <c r="F156" s="115"/>
      <c r="G156" s="115">
        <v>2</v>
      </c>
      <c r="H156" s="115">
        <v>2</v>
      </c>
      <c r="I156" s="115">
        <v>7</v>
      </c>
      <c r="J156" s="115">
        <v>716</v>
      </c>
      <c r="K156" s="115">
        <v>49.44</v>
      </c>
      <c r="L156" s="115">
        <v>20000</v>
      </c>
      <c r="M156" s="115"/>
      <c r="N156" s="115"/>
      <c r="O156" s="431">
        <v>9284.02</v>
      </c>
      <c r="P156" s="115">
        <f t="shared" si="51"/>
        <v>459002</v>
      </c>
      <c r="Q156" s="115" t="s">
        <v>66</v>
      </c>
      <c r="R156" s="115">
        <v>239002</v>
      </c>
      <c r="S156" s="115"/>
      <c r="T156" s="115"/>
      <c r="U156" s="115">
        <v>0</v>
      </c>
      <c r="V156" s="115">
        <v>220000</v>
      </c>
      <c r="W156" s="115">
        <v>3213</v>
      </c>
      <c r="X156" s="115">
        <v>550</v>
      </c>
      <c r="Y156" s="115" t="s">
        <v>48</v>
      </c>
      <c r="Z156" s="115"/>
      <c r="AA156" s="115"/>
      <c r="AB156" s="115">
        <f>1000+550+22</f>
        <v>1572</v>
      </c>
      <c r="AC156" s="115"/>
      <c r="AD156" s="115"/>
      <c r="AE156" s="115"/>
      <c r="AF156" s="291"/>
      <c r="AG156" s="246">
        <v>43068</v>
      </c>
      <c r="AH156" s="133"/>
      <c r="AI156" s="132">
        <f t="shared" si="48"/>
        <v>464337</v>
      </c>
      <c r="AJ156" s="132">
        <f t="shared" si="49"/>
        <v>462765</v>
      </c>
      <c r="AK156" s="132">
        <f t="shared" si="50"/>
        <v>1572</v>
      </c>
      <c r="AL156" s="176"/>
      <c r="AM156" s="133"/>
      <c r="AN156" s="246">
        <v>44841</v>
      </c>
      <c r="AO156" s="259"/>
    </row>
    <row r="157" s="187" customFormat="1" customHeight="1" spans="1:41">
      <c r="A157" s="115" t="s">
        <v>606</v>
      </c>
      <c r="B157" s="115" t="s">
        <v>607</v>
      </c>
      <c r="C157" s="193" t="s">
        <v>608</v>
      </c>
      <c r="D157" s="193" t="str">
        <f t="shared" si="43"/>
        <v>刘远410105198311206111</v>
      </c>
      <c r="E157" s="155">
        <v>13939002958</v>
      </c>
      <c r="F157" s="115"/>
      <c r="G157" s="115">
        <v>3</v>
      </c>
      <c r="H157" s="115">
        <v>3</v>
      </c>
      <c r="I157" s="115">
        <v>7</v>
      </c>
      <c r="J157" s="115">
        <v>705</v>
      </c>
      <c r="K157" s="115">
        <v>59.91</v>
      </c>
      <c r="L157" s="115">
        <v>20000</v>
      </c>
      <c r="M157" s="115"/>
      <c r="N157" s="115"/>
      <c r="O157" s="431">
        <v>9311.53</v>
      </c>
      <c r="P157" s="115">
        <f t="shared" si="51"/>
        <v>557854</v>
      </c>
      <c r="Q157" s="115" t="s">
        <v>66</v>
      </c>
      <c r="R157" s="115">
        <v>287854</v>
      </c>
      <c r="S157" s="115"/>
      <c r="T157" s="115" t="s">
        <v>47</v>
      </c>
      <c r="U157" s="115"/>
      <c r="V157" s="115">
        <v>270000</v>
      </c>
      <c r="W157" s="115">
        <v>3894</v>
      </c>
      <c r="X157" s="115">
        <v>550</v>
      </c>
      <c r="Y157" s="115" t="s">
        <v>48</v>
      </c>
      <c r="Z157" s="115"/>
      <c r="AA157" s="115"/>
      <c r="AB157" s="115">
        <v>4577</v>
      </c>
      <c r="AC157" s="115"/>
      <c r="AD157" s="115"/>
      <c r="AE157" s="115"/>
      <c r="AF157" s="291"/>
      <c r="AG157" s="246">
        <v>43106</v>
      </c>
      <c r="AH157" s="133"/>
      <c r="AI157" s="132">
        <f t="shared" si="48"/>
        <v>566875</v>
      </c>
      <c r="AJ157" s="132">
        <f t="shared" si="49"/>
        <v>562298</v>
      </c>
      <c r="AK157" s="132">
        <f t="shared" si="50"/>
        <v>4577</v>
      </c>
      <c r="AL157" s="176"/>
      <c r="AM157" s="133"/>
      <c r="AN157" s="246">
        <v>44841</v>
      </c>
      <c r="AO157" s="259"/>
    </row>
    <row r="158" s="187" customFormat="1" customHeight="1" spans="1:41">
      <c r="A158" s="115" t="s">
        <v>609</v>
      </c>
      <c r="B158" s="115" t="s">
        <v>610</v>
      </c>
      <c r="C158" s="193" t="s">
        <v>611</v>
      </c>
      <c r="D158" s="193" t="str">
        <f t="shared" si="43"/>
        <v>苏洋410426199005132102</v>
      </c>
      <c r="E158" s="155">
        <v>13608693664</v>
      </c>
      <c r="F158" s="115"/>
      <c r="G158" s="115">
        <v>6</v>
      </c>
      <c r="H158" s="115">
        <v>1</v>
      </c>
      <c r="I158" s="115">
        <v>12</v>
      </c>
      <c r="J158" s="115">
        <v>1207</v>
      </c>
      <c r="K158" s="115">
        <v>86.33</v>
      </c>
      <c r="L158" s="115">
        <v>12100</v>
      </c>
      <c r="M158" s="115"/>
      <c r="N158" s="115"/>
      <c r="O158" s="431">
        <v>12000</v>
      </c>
      <c r="P158" s="115">
        <f t="shared" si="51"/>
        <v>1035960</v>
      </c>
      <c r="Q158" s="115" t="s">
        <v>66</v>
      </c>
      <c r="R158" s="115">
        <v>435960</v>
      </c>
      <c r="S158" s="115"/>
      <c r="T158" s="115" t="s">
        <v>47</v>
      </c>
      <c r="U158" s="115"/>
      <c r="V158" s="115">
        <v>600000</v>
      </c>
      <c r="W158" s="115">
        <v>5611</v>
      </c>
      <c r="X158" s="115">
        <v>80</v>
      </c>
      <c r="Y158" s="115" t="s">
        <v>48</v>
      </c>
      <c r="Z158" s="115"/>
      <c r="AA158" s="115"/>
      <c r="AB158" s="115">
        <v>1376</v>
      </c>
      <c r="AC158" s="115"/>
      <c r="AD158" s="115"/>
      <c r="AE158" s="115"/>
      <c r="AF158" s="291"/>
      <c r="AG158" s="246">
        <v>43159</v>
      </c>
      <c r="AH158" s="133"/>
      <c r="AI158" s="132">
        <f t="shared" si="48"/>
        <v>1043027</v>
      </c>
      <c r="AJ158" s="132">
        <f t="shared" si="49"/>
        <v>1041651</v>
      </c>
      <c r="AK158" s="132">
        <f t="shared" si="50"/>
        <v>1376</v>
      </c>
      <c r="AL158" s="176"/>
      <c r="AM158" s="133"/>
      <c r="AN158" s="246">
        <v>44841</v>
      </c>
      <c r="AO158" s="259"/>
    </row>
    <row r="159" s="187" customFormat="1" customHeight="1" spans="1:41">
      <c r="A159" s="115" t="s">
        <v>612</v>
      </c>
      <c r="B159" s="115" t="s">
        <v>613</v>
      </c>
      <c r="C159" s="193" t="s">
        <v>614</v>
      </c>
      <c r="D159" s="193" t="str">
        <f t="shared" si="43"/>
        <v>焦若琳412823199002070027</v>
      </c>
      <c r="E159" s="155">
        <v>13783538515</v>
      </c>
      <c r="F159" s="115"/>
      <c r="G159" s="115">
        <v>3</v>
      </c>
      <c r="H159" s="115">
        <v>3</v>
      </c>
      <c r="I159" s="115">
        <v>10</v>
      </c>
      <c r="J159" s="115">
        <v>1008</v>
      </c>
      <c r="K159" s="115">
        <v>61.98</v>
      </c>
      <c r="L159" s="115">
        <v>20000</v>
      </c>
      <c r="M159" s="115"/>
      <c r="N159" s="115"/>
      <c r="O159" s="431">
        <v>9072.95</v>
      </c>
      <c r="P159" s="115">
        <f t="shared" si="51"/>
        <v>562341</v>
      </c>
      <c r="Q159" s="115" t="s">
        <v>66</v>
      </c>
      <c r="R159" s="115">
        <v>462341</v>
      </c>
      <c r="S159" s="115"/>
      <c r="T159" s="115" t="s">
        <v>47</v>
      </c>
      <c r="U159" s="115"/>
      <c r="V159" s="115">
        <v>100000</v>
      </c>
      <c r="W159" s="115">
        <v>4028</v>
      </c>
      <c r="X159" s="115">
        <v>550</v>
      </c>
      <c r="Y159" s="115" t="s">
        <v>48</v>
      </c>
      <c r="Z159" s="115"/>
      <c r="AA159" s="115"/>
      <c r="AB159" s="115"/>
      <c r="AC159" s="115"/>
      <c r="AD159" s="115"/>
      <c r="AE159" s="115"/>
      <c r="AF159" s="291"/>
      <c r="AG159" s="246">
        <v>43066</v>
      </c>
      <c r="AH159" s="133">
        <v>4578</v>
      </c>
      <c r="AI159" s="132">
        <f t="shared" ref="AI159:AI171" si="52">R159+V159+W159+X159+AA159+AB159+AC159+AD159</f>
        <v>566919</v>
      </c>
      <c r="AJ159" s="132">
        <f t="shared" ref="AJ159:AJ171" si="53">R159+W159+V159+X159+AA159</f>
        <v>566919</v>
      </c>
      <c r="AK159" s="132">
        <f t="shared" ref="AK159:AK171" si="54">AI159-AJ159</f>
        <v>0</v>
      </c>
      <c r="AL159" s="176"/>
      <c r="AM159" s="133"/>
      <c r="AN159" s="246">
        <v>44841</v>
      </c>
      <c r="AO159" s="259"/>
    </row>
    <row r="160" s="187" customFormat="1" customHeight="1" spans="1:41">
      <c r="A160" s="115" t="s">
        <v>615</v>
      </c>
      <c r="B160" s="115" t="s">
        <v>616</v>
      </c>
      <c r="C160" s="193" t="s">
        <v>617</v>
      </c>
      <c r="D160" s="193" t="str">
        <f t="shared" si="43"/>
        <v>李雪娟410121197209261224</v>
      </c>
      <c r="E160" s="155" t="s">
        <v>618</v>
      </c>
      <c r="F160" s="115"/>
      <c r="G160" s="115">
        <v>3</v>
      </c>
      <c r="H160" s="115">
        <v>3</v>
      </c>
      <c r="I160" s="115">
        <v>23</v>
      </c>
      <c r="J160" s="115">
        <v>2327</v>
      </c>
      <c r="K160" s="115">
        <v>58.41</v>
      </c>
      <c r="L160" s="115">
        <v>30000</v>
      </c>
      <c r="M160" s="115"/>
      <c r="N160" s="115"/>
      <c r="O160" s="431">
        <v>15453.07</v>
      </c>
      <c r="P160" s="115">
        <f t="shared" si="51"/>
        <v>902614</v>
      </c>
      <c r="Q160" s="115" t="s">
        <v>66</v>
      </c>
      <c r="R160" s="115">
        <v>452614</v>
      </c>
      <c r="S160" s="115"/>
      <c r="T160" s="115">
        <v>450000</v>
      </c>
      <c r="U160" s="115">
        <f>P160-R160</f>
        <v>450000</v>
      </c>
      <c r="V160" s="115"/>
      <c r="W160" s="115">
        <v>3796</v>
      </c>
      <c r="X160" s="115">
        <v>550</v>
      </c>
      <c r="Y160" s="115"/>
      <c r="Z160" s="115"/>
      <c r="AA160" s="115"/>
      <c r="AB160" s="115"/>
      <c r="AC160" s="115"/>
      <c r="AD160" s="115"/>
      <c r="AE160" s="115" t="s">
        <v>208</v>
      </c>
      <c r="AF160" s="291"/>
      <c r="AG160" s="246">
        <v>43098</v>
      </c>
      <c r="AH160" s="133">
        <f>AJ160</f>
        <v>456960</v>
      </c>
      <c r="AI160" s="132">
        <f t="shared" si="52"/>
        <v>456960</v>
      </c>
      <c r="AJ160" s="132">
        <f t="shared" si="53"/>
        <v>456960</v>
      </c>
      <c r="AK160" s="132">
        <f t="shared" si="54"/>
        <v>0</v>
      </c>
      <c r="AL160" s="176"/>
      <c r="AM160" s="133"/>
      <c r="AN160" s="246">
        <v>44841</v>
      </c>
      <c r="AO160" s="259"/>
    </row>
    <row r="161" s="187" customFormat="1" customHeight="1" spans="1:41">
      <c r="A161" s="115" t="s">
        <v>619</v>
      </c>
      <c r="B161" s="115" t="s">
        <v>620</v>
      </c>
      <c r="C161" s="193" t="s">
        <v>621</v>
      </c>
      <c r="D161" s="193" t="str">
        <f t="shared" si="43"/>
        <v>徐艳410105197106021025</v>
      </c>
      <c r="E161" s="155" t="s">
        <v>622</v>
      </c>
      <c r="F161" s="115"/>
      <c r="G161" s="115">
        <v>3</v>
      </c>
      <c r="H161" s="115">
        <v>3</v>
      </c>
      <c r="I161" s="115">
        <v>12</v>
      </c>
      <c r="J161" s="115">
        <v>1220</v>
      </c>
      <c r="K161" s="115">
        <v>73.25</v>
      </c>
      <c r="L161" s="115">
        <v>20000</v>
      </c>
      <c r="M161" s="115"/>
      <c r="N161" s="115"/>
      <c r="O161" s="431">
        <v>8520</v>
      </c>
      <c r="P161" s="115">
        <f t="shared" si="51"/>
        <v>624090</v>
      </c>
      <c r="Q161" s="115" t="s">
        <v>56</v>
      </c>
      <c r="R161" s="115">
        <v>624090</v>
      </c>
      <c r="S161" s="115"/>
      <c r="T161" s="115" t="s">
        <v>47</v>
      </c>
      <c r="U161" s="115"/>
      <c r="V161" s="115"/>
      <c r="W161" s="115">
        <v>4761</v>
      </c>
      <c r="X161" s="115">
        <v>550</v>
      </c>
      <c r="Y161" s="115" t="s">
        <v>48</v>
      </c>
      <c r="Z161" s="115"/>
      <c r="AA161" s="115"/>
      <c r="AB161" s="115"/>
      <c r="AC161" s="115"/>
      <c r="AD161" s="115"/>
      <c r="AE161" s="115"/>
      <c r="AF161" s="291"/>
      <c r="AG161" s="246">
        <v>43279</v>
      </c>
      <c r="AH161" s="133">
        <f>AJ161</f>
        <v>629401</v>
      </c>
      <c r="AI161" s="132">
        <f t="shared" si="52"/>
        <v>629401</v>
      </c>
      <c r="AJ161" s="132">
        <f t="shared" si="53"/>
        <v>629401</v>
      </c>
      <c r="AK161" s="132">
        <f t="shared" si="54"/>
        <v>0</v>
      </c>
      <c r="AL161" s="176"/>
      <c r="AM161" s="133"/>
      <c r="AN161" s="246">
        <v>44841</v>
      </c>
      <c r="AO161" s="259"/>
    </row>
    <row r="162" s="187" customFormat="1" customHeight="1" spans="1:41">
      <c r="A162" s="115" t="s">
        <v>623</v>
      </c>
      <c r="B162" s="115" t="s">
        <v>624</v>
      </c>
      <c r="C162" s="193" t="s">
        <v>625</v>
      </c>
      <c r="D162" s="193" t="str">
        <f t="shared" si="43"/>
        <v>邵磊高建梅410703196605270021</v>
      </c>
      <c r="E162" s="155" t="s">
        <v>626</v>
      </c>
      <c r="F162" s="115"/>
      <c r="G162" s="115">
        <v>10</v>
      </c>
      <c r="H162" s="115">
        <v>2</v>
      </c>
      <c r="I162" s="115">
        <v>28</v>
      </c>
      <c r="J162" s="115">
        <v>2806</v>
      </c>
      <c r="K162" s="115">
        <v>99.52</v>
      </c>
      <c r="L162" s="115">
        <v>8900</v>
      </c>
      <c r="M162" s="115"/>
      <c r="N162" s="115"/>
      <c r="O162" s="431">
        <v>8800</v>
      </c>
      <c r="P162" s="115">
        <f t="shared" si="51"/>
        <v>875776</v>
      </c>
      <c r="Q162" s="115" t="s">
        <v>56</v>
      </c>
      <c r="R162" s="115">
        <v>907762</v>
      </c>
      <c r="S162" s="115">
        <v>-31986</v>
      </c>
      <c r="T162" s="115" t="s">
        <v>47</v>
      </c>
      <c r="U162" s="115">
        <v>0</v>
      </c>
      <c r="V162" s="115"/>
      <c r="W162" s="115">
        <v>6468</v>
      </c>
      <c r="X162" s="115">
        <v>90</v>
      </c>
      <c r="Y162" s="115" t="s">
        <v>48</v>
      </c>
      <c r="Z162" s="115"/>
      <c r="AA162" s="115"/>
      <c r="AB162" s="115"/>
      <c r="AC162" s="115"/>
      <c r="AD162" s="115"/>
      <c r="AE162" s="115"/>
      <c r="AF162" s="291"/>
      <c r="AG162" s="246">
        <v>43980</v>
      </c>
      <c r="AH162" s="133"/>
      <c r="AI162" s="132">
        <f t="shared" si="52"/>
        <v>914320</v>
      </c>
      <c r="AJ162" s="132">
        <f t="shared" si="53"/>
        <v>914320</v>
      </c>
      <c r="AK162" s="132">
        <f t="shared" si="54"/>
        <v>0</v>
      </c>
      <c r="AL162" s="176"/>
      <c r="AM162" s="133"/>
      <c r="AN162" s="246">
        <v>44841</v>
      </c>
      <c r="AO162" s="259"/>
    </row>
    <row r="163" s="187" customFormat="1" customHeight="1" spans="1:41">
      <c r="A163" s="115" t="s">
        <v>627</v>
      </c>
      <c r="B163" s="115" t="s">
        <v>628</v>
      </c>
      <c r="C163" s="546" t="s">
        <v>629</v>
      </c>
      <c r="D163" s="193" t="str">
        <f t="shared" si="43"/>
        <v>邵霓青410703199212052027</v>
      </c>
      <c r="E163" s="155" t="s">
        <v>626</v>
      </c>
      <c r="F163" s="115"/>
      <c r="G163" s="115">
        <v>10</v>
      </c>
      <c r="H163" s="115">
        <v>2</v>
      </c>
      <c r="I163" s="115">
        <v>28</v>
      </c>
      <c r="J163" s="115">
        <v>2805</v>
      </c>
      <c r="K163" s="115">
        <v>93.84</v>
      </c>
      <c r="L163" s="115">
        <v>8900</v>
      </c>
      <c r="M163" s="115"/>
      <c r="N163" s="115"/>
      <c r="O163" s="431">
        <v>8800</v>
      </c>
      <c r="P163" s="115">
        <f t="shared" si="51"/>
        <v>825792</v>
      </c>
      <c r="Q163" s="115" t="s">
        <v>56</v>
      </c>
      <c r="R163" s="115">
        <v>862381</v>
      </c>
      <c r="S163" s="115">
        <v>-36589</v>
      </c>
      <c r="T163" s="115" t="s">
        <v>47</v>
      </c>
      <c r="U163" s="115">
        <v>0</v>
      </c>
      <c r="V163" s="115"/>
      <c r="W163" s="115">
        <v>6099</v>
      </c>
      <c r="X163" s="115">
        <v>80</v>
      </c>
      <c r="Y163" s="115" t="s">
        <v>48</v>
      </c>
      <c r="Z163" s="115"/>
      <c r="AA163" s="115"/>
      <c r="AB163" s="115"/>
      <c r="AC163" s="115"/>
      <c r="AD163" s="115"/>
      <c r="AE163" s="115"/>
      <c r="AF163" s="291"/>
      <c r="AG163" s="246">
        <v>43980</v>
      </c>
      <c r="AH163" s="133"/>
      <c r="AI163" s="132">
        <f t="shared" si="52"/>
        <v>868560</v>
      </c>
      <c r="AJ163" s="132">
        <f t="shared" si="53"/>
        <v>868560</v>
      </c>
      <c r="AK163" s="132">
        <f t="shared" si="54"/>
        <v>0</v>
      </c>
      <c r="AL163" s="176"/>
      <c r="AM163" s="133"/>
      <c r="AN163" s="246">
        <v>44841</v>
      </c>
      <c r="AO163" s="259"/>
    </row>
    <row r="164" s="187" customFormat="1" customHeight="1" spans="1:41">
      <c r="A164" s="115" t="s">
        <v>630</v>
      </c>
      <c r="B164" s="115" t="s">
        <v>631</v>
      </c>
      <c r="C164" s="193" t="s">
        <v>632</v>
      </c>
      <c r="D164" s="193" t="str">
        <f t="shared" si="43"/>
        <v>王翠英41270219701126816x</v>
      </c>
      <c r="E164" s="155" t="s">
        <v>633</v>
      </c>
      <c r="F164" s="115" t="s">
        <v>634</v>
      </c>
      <c r="G164" s="115">
        <v>6</v>
      </c>
      <c r="H164" s="115">
        <v>1</v>
      </c>
      <c r="I164" s="115">
        <v>25</v>
      </c>
      <c r="J164" s="115">
        <v>2507</v>
      </c>
      <c r="K164" s="115">
        <v>86.33</v>
      </c>
      <c r="L164" s="115">
        <v>17900</v>
      </c>
      <c r="M164" s="115"/>
      <c r="N164" s="115"/>
      <c r="O164" s="431">
        <v>16000</v>
      </c>
      <c r="P164" s="115">
        <f t="shared" si="51"/>
        <v>1381280</v>
      </c>
      <c r="Q164" s="115" t="s">
        <v>66</v>
      </c>
      <c r="R164" s="115">
        <v>831280</v>
      </c>
      <c r="S164" s="115"/>
      <c r="T164" s="115">
        <v>550000</v>
      </c>
      <c r="U164" s="115"/>
      <c r="V164" s="115"/>
      <c r="W164" s="115">
        <v>5611</v>
      </c>
      <c r="X164" s="115">
        <v>80</v>
      </c>
      <c r="Y164" s="115" t="s">
        <v>48</v>
      </c>
      <c r="Z164" s="115"/>
      <c r="AA164" s="115"/>
      <c r="AB164" s="115">
        <v>1275</v>
      </c>
      <c r="AC164" s="115"/>
      <c r="AD164" s="115"/>
      <c r="AE164" s="115"/>
      <c r="AF164" s="291"/>
      <c r="AG164" s="246">
        <v>44113</v>
      </c>
      <c r="AH164" s="133"/>
      <c r="AI164" s="132">
        <f t="shared" si="52"/>
        <v>838246</v>
      </c>
      <c r="AJ164" s="132">
        <f t="shared" si="53"/>
        <v>836971</v>
      </c>
      <c r="AK164" s="132">
        <f t="shared" si="54"/>
        <v>1275</v>
      </c>
      <c r="AL164" s="176"/>
      <c r="AM164" s="133"/>
      <c r="AN164" s="246">
        <v>44841</v>
      </c>
      <c r="AO164" s="259"/>
    </row>
    <row r="165" s="187" customFormat="1" customHeight="1" spans="1:41">
      <c r="A165" s="115" t="s">
        <v>635</v>
      </c>
      <c r="B165" s="115" t="s">
        <v>636</v>
      </c>
      <c r="C165" s="193" t="s">
        <v>637</v>
      </c>
      <c r="D165" s="193" t="str">
        <f t="shared" si="43"/>
        <v>肖耀东410702197705280014</v>
      </c>
      <c r="E165" s="155">
        <v>13849366867</v>
      </c>
      <c r="F165" s="115"/>
      <c r="G165" s="115">
        <v>6</v>
      </c>
      <c r="H165" s="115">
        <v>1</v>
      </c>
      <c r="I165" s="115">
        <v>24</v>
      </c>
      <c r="J165" s="115">
        <v>2407</v>
      </c>
      <c r="K165" s="115">
        <v>86.33</v>
      </c>
      <c r="L165" s="115">
        <v>19460</v>
      </c>
      <c r="M165" s="115"/>
      <c r="N165" s="115"/>
      <c r="O165" s="431">
        <v>16000</v>
      </c>
      <c r="P165" s="115">
        <f t="shared" si="51"/>
        <v>1381280</v>
      </c>
      <c r="Q165" s="115" t="s">
        <v>66</v>
      </c>
      <c r="R165" s="115">
        <v>717200</v>
      </c>
      <c r="S165" s="115"/>
      <c r="T165" s="115">
        <v>664080</v>
      </c>
      <c r="U165" s="115"/>
      <c r="V165" s="115"/>
      <c r="W165" s="115"/>
      <c r="X165" s="115"/>
      <c r="Y165" s="115"/>
      <c r="Z165" s="115"/>
      <c r="AA165" s="115"/>
      <c r="AB165" s="115"/>
      <c r="AC165" s="115"/>
      <c r="AD165" s="115"/>
      <c r="AE165" s="115"/>
      <c r="AF165" s="291"/>
      <c r="AG165" s="246">
        <v>42977</v>
      </c>
      <c r="AH165" s="133"/>
      <c r="AI165" s="132">
        <f t="shared" si="52"/>
        <v>717200</v>
      </c>
      <c r="AJ165" s="132">
        <f t="shared" si="53"/>
        <v>717200</v>
      </c>
      <c r="AK165" s="132">
        <f t="shared" si="54"/>
        <v>0</v>
      </c>
      <c r="AL165" s="176"/>
      <c r="AM165" s="133"/>
      <c r="AN165" s="246">
        <v>44841</v>
      </c>
      <c r="AO165" s="259"/>
    </row>
    <row r="166" s="187" customFormat="1" customHeight="1" spans="1:41">
      <c r="A166" s="115" t="s">
        <v>638</v>
      </c>
      <c r="B166" s="115" t="s">
        <v>639</v>
      </c>
      <c r="C166" s="193" t="s">
        <v>640</v>
      </c>
      <c r="D166" s="193" t="str">
        <f t="shared" si="43"/>
        <v>岳征、王晓莹410103197808043218</v>
      </c>
      <c r="E166" s="155" t="s">
        <v>641</v>
      </c>
      <c r="F166" s="115"/>
      <c r="G166" s="115">
        <v>6</v>
      </c>
      <c r="H166" s="115">
        <v>1</v>
      </c>
      <c r="I166" s="115">
        <v>11</v>
      </c>
      <c r="J166" s="115">
        <v>1106</v>
      </c>
      <c r="K166" s="115">
        <v>86.33</v>
      </c>
      <c r="L166" s="115">
        <v>17900</v>
      </c>
      <c r="M166" s="115"/>
      <c r="N166" s="115"/>
      <c r="O166" s="431">
        <v>15000</v>
      </c>
      <c r="P166" s="115">
        <f t="shared" si="51"/>
        <v>1294950</v>
      </c>
      <c r="Q166" s="115" t="s">
        <v>46</v>
      </c>
      <c r="R166" s="115">
        <v>1144950</v>
      </c>
      <c r="S166" s="115"/>
      <c r="T166" s="115" t="s">
        <v>47</v>
      </c>
      <c r="U166" s="115"/>
      <c r="V166" s="115">
        <v>150000</v>
      </c>
      <c r="W166" s="115">
        <v>5611</v>
      </c>
      <c r="X166" s="115">
        <v>90</v>
      </c>
      <c r="Y166" s="115" t="s">
        <v>48</v>
      </c>
      <c r="Z166" s="115"/>
      <c r="AA166" s="115"/>
      <c r="AB166" s="115">
        <v>1180</v>
      </c>
      <c r="AC166" s="115"/>
      <c r="AD166" s="115"/>
      <c r="AE166" s="115"/>
      <c r="AF166" s="291"/>
      <c r="AG166" s="246">
        <v>44022</v>
      </c>
      <c r="AH166" s="133"/>
      <c r="AI166" s="132">
        <f t="shared" si="52"/>
        <v>1301831</v>
      </c>
      <c r="AJ166" s="132">
        <f t="shared" si="53"/>
        <v>1300651</v>
      </c>
      <c r="AK166" s="132">
        <f t="shared" si="54"/>
        <v>1180</v>
      </c>
      <c r="AL166" s="176"/>
      <c r="AM166" s="133"/>
      <c r="AN166" s="246">
        <v>44841</v>
      </c>
      <c r="AO166" s="259"/>
    </row>
    <row r="167" s="187" customFormat="1" customHeight="1" spans="1:41">
      <c r="A167" s="115" t="s">
        <v>642</v>
      </c>
      <c r="B167" s="115" t="s">
        <v>643</v>
      </c>
      <c r="C167" s="193" t="s">
        <v>644</v>
      </c>
      <c r="D167" s="193" t="str">
        <f t="shared" si="43"/>
        <v>张茜410603199005190026</v>
      </c>
      <c r="E167" s="155" t="s">
        <v>645</v>
      </c>
      <c r="F167" s="115"/>
      <c r="G167" s="115">
        <v>9</v>
      </c>
      <c r="H167" s="115">
        <v>3</v>
      </c>
      <c r="I167" s="115">
        <v>23</v>
      </c>
      <c r="J167" s="115">
        <v>2303</v>
      </c>
      <c r="K167" s="115">
        <v>99.56</v>
      </c>
      <c r="L167" s="115">
        <v>9100</v>
      </c>
      <c r="M167" s="115"/>
      <c r="N167" s="115"/>
      <c r="O167" s="431">
        <v>9000</v>
      </c>
      <c r="P167" s="115">
        <f t="shared" si="51"/>
        <v>896040</v>
      </c>
      <c r="Q167" s="115" t="s">
        <v>56</v>
      </c>
      <c r="R167" s="115">
        <v>896040</v>
      </c>
      <c r="S167" s="115"/>
      <c r="T167" s="115" t="s">
        <v>47</v>
      </c>
      <c r="U167" s="115"/>
      <c r="V167" s="115"/>
      <c r="W167" s="115">
        <v>6471</v>
      </c>
      <c r="X167" s="115">
        <v>80</v>
      </c>
      <c r="Y167" s="115" t="s">
        <v>48</v>
      </c>
      <c r="Z167" s="115"/>
      <c r="AA167" s="115"/>
      <c r="AB167" s="115">
        <v>120</v>
      </c>
      <c r="AC167" s="115"/>
      <c r="AD167" s="115"/>
      <c r="AE167" s="115"/>
      <c r="AF167" s="291"/>
      <c r="AG167" s="246">
        <v>43691</v>
      </c>
      <c r="AH167" s="133"/>
      <c r="AI167" s="132">
        <f t="shared" si="52"/>
        <v>902711</v>
      </c>
      <c r="AJ167" s="132">
        <f t="shared" si="53"/>
        <v>902591</v>
      </c>
      <c r="AK167" s="132">
        <f t="shared" si="54"/>
        <v>120</v>
      </c>
      <c r="AL167" s="176"/>
      <c r="AM167" s="133"/>
      <c r="AN167" s="246">
        <v>44841</v>
      </c>
      <c r="AO167" s="259"/>
    </row>
    <row r="168" s="187" customFormat="1" customHeight="1" spans="1:41">
      <c r="A168" s="115" t="s">
        <v>646</v>
      </c>
      <c r="B168" s="115" t="s">
        <v>647</v>
      </c>
      <c r="C168" s="193" t="s">
        <v>648</v>
      </c>
      <c r="D168" s="193" t="str">
        <f t="shared" si="43"/>
        <v>吉谷风410105196806161016</v>
      </c>
      <c r="E168" s="155">
        <v>13838502280</v>
      </c>
      <c r="F168" s="115"/>
      <c r="G168" s="115">
        <v>3</v>
      </c>
      <c r="H168" s="115">
        <v>3</v>
      </c>
      <c r="I168" s="115">
        <v>9</v>
      </c>
      <c r="J168" s="115">
        <v>922</v>
      </c>
      <c r="K168" s="115">
        <v>64.29</v>
      </c>
      <c r="L168" s="115">
        <v>20000</v>
      </c>
      <c r="M168" s="115"/>
      <c r="N168" s="115"/>
      <c r="O168" s="431">
        <v>8694.69</v>
      </c>
      <c r="P168" s="115">
        <f t="shared" si="51"/>
        <v>558982</v>
      </c>
      <c r="Q168" s="115" t="s">
        <v>66</v>
      </c>
      <c r="R168" s="115">
        <v>288982</v>
      </c>
      <c r="S168" s="115"/>
      <c r="T168" s="115">
        <v>270000</v>
      </c>
      <c r="U168" s="115">
        <f>P168-R168</f>
        <v>270000</v>
      </c>
      <c r="V168" s="115"/>
      <c r="W168" s="115">
        <v>4178</v>
      </c>
      <c r="X168" s="115">
        <v>550</v>
      </c>
      <c r="Y168" s="115"/>
      <c r="Z168" s="115"/>
      <c r="AA168" s="115"/>
      <c r="AB168" s="115"/>
      <c r="AC168" s="115"/>
      <c r="AD168" s="115"/>
      <c r="AE168" s="115"/>
      <c r="AF168" s="291"/>
      <c r="AG168" s="246">
        <v>42746</v>
      </c>
      <c r="AH168" s="133"/>
      <c r="AI168" s="132">
        <f t="shared" si="52"/>
        <v>293710</v>
      </c>
      <c r="AJ168" s="132">
        <f t="shared" si="53"/>
        <v>293710</v>
      </c>
      <c r="AK168" s="132">
        <f t="shared" si="54"/>
        <v>0</v>
      </c>
      <c r="AL168" s="176"/>
      <c r="AM168" s="133"/>
      <c r="AN168" s="246">
        <v>44841</v>
      </c>
      <c r="AO168" s="259"/>
    </row>
    <row r="169" s="187" customFormat="1" customHeight="1" spans="1:41">
      <c r="A169" s="115" t="s">
        <v>649</v>
      </c>
      <c r="B169" s="115" t="s">
        <v>650</v>
      </c>
      <c r="C169" s="193" t="s">
        <v>651</v>
      </c>
      <c r="D169" s="193" t="str">
        <f t="shared" si="43"/>
        <v>李旻轩410503199902155022</v>
      </c>
      <c r="E169" s="155">
        <v>13598139796</v>
      </c>
      <c r="F169" s="115" t="s">
        <v>652</v>
      </c>
      <c r="G169" s="115">
        <v>6</v>
      </c>
      <c r="H169" s="115">
        <v>1</v>
      </c>
      <c r="I169" s="115">
        <v>24</v>
      </c>
      <c r="J169" s="115">
        <v>2406</v>
      </c>
      <c r="K169" s="115">
        <v>86.33</v>
      </c>
      <c r="L169" s="115">
        <v>19460</v>
      </c>
      <c r="M169" s="115"/>
      <c r="N169" s="115"/>
      <c r="O169" s="431">
        <v>18500</v>
      </c>
      <c r="P169" s="115">
        <f t="shared" si="51"/>
        <v>1597105</v>
      </c>
      <c r="Q169" s="115" t="s">
        <v>56</v>
      </c>
      <c r="R169" s="115">
        <v>1597105</v>
      </c>
      <c r="S169" s="115"/>
      <c r="T169" s="115" t="s">
        <v>47</v>
      </c>
      <c r="U169" s="115"/>
      <c r="V169" s="115"/>
      <c r="W169" s="115">
        <v>5611</v>
      </c>
      <c r="X169" s="115">
        <v>80</v>
      </c>
      <c r="Y169" s="115" t="s">
        <v>48</v>
      </c>
      <c r="Z169" s="115"/>
      <c r="AA169" s="115"/>
      <c r="AB169" s="115"/>
      <c r="AC169" s="115"/>
      <c r="AD169" s="115"/>
      <c r="AE169" s="115"/>
      <c r="AF169" s="291"/>
      <c r="AG169" s="246">
        <v>44018</v>
      </c>
      <c r="AH169" s="133"/>
      <c r="AI169" s="132">
        <f t="shared" si="52"/>
        <v>1602796</v>
      </c>
      <c r="AJ169" s="132">
        <f t="shared" si="53"/>
        <v>1602796</v>
      </c>
      <c r="AK169" s="132">
        <f t="shared" si="54"/>
        <v>0</v>
      </c>
      <c r="AL169" s="176"/>
      <c r="AM169" s="133"/>
      <c r="AN169" s="246">
        <v>44841</v>
      </c>
      <c r="AO169" s="259"/>
    </row>
    <row r="170" s="187" customFormat="1" customHeight="1" spans="1:41">
      <c r="A170" s="115" t="s">
        <v>653</v>
      </c>
      <c r="B170" s="115" t="s">
        <v>654</v>
      </c>
      <c r="C170" s="193" t="s">
        <v>655</v>
      </c>
      <c r="D170" s="193" t="str">
        <f t="shared" si="43"/>
        <v>段红伟410106196801130030</v>
      </c>
      <c r="E170" s="155" t="s">
        <v>656</v>
      </c>
      <c r="F170" s="115"/>
      <c r="G170" s="115">
        <v>11</v>
      </c>
      <c r="H170" s="115">
        <v>3</v>
      </c>
      <c r="I170" s="115">
        <v>23</v>
      </c>
      <c r="J170" s="115">
        <v>2302</v>
      </c>
      <c r="K170" s="115">
        <v>95.81</v>
      </c>
      <c r="L170" s="115">
        <v>19940</v>
      </c>
      <c r="M170" s="115"/>
      <c r="N170" s="115"/>
      <c r="O170" s="431">
        <v>18943</v>
      </c>
      <c r="P170" s="115">
        <f>ROUND(K170*O170,0)</f>
        <v>1814929</v>
      </c>
      <c r="Q170" s="115" t="s">
        <v>46</v>
      </c>
      <c r="R170" s="115">
        <v>1214929</v>
      </c>
      <c r="S170" s="115"/>
      <c r="T170" s="115">
        <v>600000</v>
      </c>
      <c r="U170" s="115"/>
      <c r="V170" s="115"/>
      <c r="W170" s="115">
        <v>6227</v>
      </c>
      <c r="X170" s="115">
        <v>80</v>
      </c>
      <c r="Y170" s="115" t="s">
        <v>48</v>
      </c>
      <c r="Z170" s="115"/>
      <c r="AA170" s="115"/>
      <c r="AB170" s="115"/>
      <c r="AC170" s="115"/>
      <c r="AD170" s="115"/>
      <c r="AE170" s="115"/>
      <c r="AF170" s="291"/>
      <c r="AG170" s="246">
        <v>43134</v>
      </c>
      <c r="AH170" s="133"/>
      <c r="AI170" s="132">
        <f t="shared" si="52"/>
        <v>1221236</v>
      </c>
      <c r="AJ170" s="132">
        <f t="shared" si="53"/>
        <v>1221236</v>
      </c>
      <c r="AK170" s="132">
        <f t="shared" si="54"/>
        <v>0</v>
      </c>
      <c r="AL170" s="176" t="s">
        <v>657</v>
      </c>
      <c r="AM170" s="133"/>
      <c r="AN170" s="246">
        <v>44841</v>
      </c>
      <c r="AO170" s="259"/>
    </row>
    <row r="171" s="187" customFormat="1" customHeight="1" spans="1:41">
      <c r="A171" s="115" t="s">
        <v>658</v>
      </c>
      <c r="B171" s="115" t="s">
        <v>659</v>
      </c>
      <c r="C171" s="193" t="s">
        <v>660</v>
      </c>
      <c r="D171" s="193" t="str">
        <f t="shared" si="43"/>
        <v>王培霞410481196309030026</v>
      </c>
      <c r="E171" s="155">
        <v>13838239957</v>
      </c>
      <c r="F171" s="115"/>
      <c r="G171" s="115">
        <v>3</v>
      </c>
      <c r="H171" s="115">
        <v>3</v>
      </c>
      <c r="I171" s="115">
        <v>14</v>
      </c>
      <c r="J171" s="115">
        <v>1416</v>
      </c>
      <c r="K171" s="115">
        <v>67.42</v>
      </c>
      <c r="L171" s="115">
        <v>20000</v>
      </c>
      <c r="M171" s="115"/>
      <c r="N171" s="115"/>
      <c r="O171" s="431">
        <v>8969.31</v>
      </c>
      <c r="P171" s="115">
        <f>ROUND(O171*K171,0)</f>
        <v>604711</v>
      </c>
      <c r="Q171" s="115" t="s">
        <v>66</v>
      </c>
      <c r="R171" s="115">
        <v>304711</v>
      </c>
      <c r="S171" s="115" t="s">
        <v>47</v>
      </c>
      <c r="T171" s="115"/>
      <c r="U171" s="115"/>
      <c r="V171" s="115">
        <v>300000</v>
      </c>
      <c r="W171" s="115">
        <v>4382</v>
      </c>
      <c r="X171" s="115">
        <v>550</v>
      </c>
      <c r="Y171" s="115" t="s">
        <v>48</v>
      </c>
      <c r="Z171" s="115"/>
      <c r="AA171" s="115"/>
      <c r="AB171" s="115">
        <v>1810</v>
      </c>
      <c r="AC171" s="115"/>
      <c r="AD171" s="115"/>
      <c r="AE171" s="115"/>
      <c r="AF171" s="291"/>
      <c r="AG171" s="246">
        <v>43068</v>
      </c>
      <c r="AH171" s="133"/>
      <c r="AI171" s="132">
        <f t="shared" si="52"/>
        <v>611453</v>
      </c>
      <c r="AJ171" s="132">
        <f t="shared" si="53"/>
        <v>609643</v>
      </c>
      <c r="AK171" s="132">
        <f t="shared" si="54"/>
        <v>1810</v>
      </c>
      <c r="AL171" s="176"/>
      <c r="AM171" s="133"/>
      <c r="AN171" s="246">
        <v>44841</v>
      </c>
      <c r="AO171" s="259"/>
    </row>
    <row r="172" s="187" customFormat="1" customHeight="1" spans="1:41">
      <c r="A172" s="115" t="s">
        <v>661</v>
      </c>
      <c r="B172" s="115" t="s">
        <v>659</v>
      </c>
      <c r="C172" s="193" t="s">
        <v>660</v>
      </c>
      <c r="D172" s="193" t="str">
        <f t="shared" si="43"/>
        <v>王培霞410481196309030026</v>
      </c>
      <c r="E172" s="155">
        <v>13838239957</v>
      </c>
      <c r="F172" s="115"/>
      <c r="G172" s="115">
        <v>3</v>
      </c>
      <c r="H172" s="115">
        <v>3</v>
      </c>
      <c r="I172" s="115">
        <v>14</v>
      </c>
      <c r="J172" s="115">
        <v>1417</v>
      </c>
      <c r="K172" s="115">
        <v>68.25</v>
      </c>
      <c r="L172" s="115">
        <v>20000</v>
      </c>
      <c r="M172" s="115"/>
      <c r="N172" s="115"/>
      <c r="O172" s="431">
        <v>8968.97</v>
      </c>
      <c r="P172" s="115">
        <f>ROUND(O172*K172,0)</f>
        <v>612132</v>
      </c>
      <c r="Q172" s="115" t="s">
        <v>66</v>
      </c>
      <c r="R172" s="115">
        <v>312132</v>
      </c>
      <c r="S172" s="115" t="s">
        <v>47</v>
      </c>
      <c r="T172" s="115">
        <f>P172-R172</f>
        <v>300000</v>
      </c>
      <c r="U172" s="115"/>
      <c r="V172" s="115"/>
      <c r="W172" s="115">
        <v>4436</v>
      </c>
      <c r="X172" s="115">
        <v>550</v>
      </c>
      <c r="Y172" s="115"/>
      <c r="Z172" s="115"/>
      <c r="AA172" s="115"/>
      <c r="AB172" s="115"/>
      <c r="AC172" s="115"/>
      <c r="AD172" s="115"/>
      <c r="AE172" s="115"/>
      <c r="AF172" s="291"/>
      <c r="AG172" s="246">
        <v>43103</v>
      </c>
      <c r="AH172" s="133"/>
      <c r="AI172" s="132">
        <f t="shared" ref="AI172:AI187" si="55">R172+V172+W172+X172+AA172+AB172+AC172+AD172</f>
        <v>317118</v>
      </c>
      <c r="AJ172" s="132">
        <f t="shared" ref="AJ172:AJ187" si="56">R172+W172+V172+X172+AA172</f>
        <v>317118</v>
      </c>
      <c r="AK172" s="132">
        <f t="shared" ref="AK172:AK187" si="57">AI172-AJ172</f>
        <v>0</v>
      </c>
      <c r="AL172" s="176"/>
      <c r="AM172" s="133"/>
      <c r="AN172" s="246">
        <v>44841</v>
      </c>
      <c r="AO172" s="259"/>
    </row>
    <row r="173" s="187" customFormat="1" customHeight="1" spans="1:41">
      <c r="A173" s="115" t="s">
        <v>662</v>
      </c>
      <c r="B173" s="115" t="s">
        <v>663</v>
      </c>
      <c r="C173" s="193" t="s">
        <v>664</v>
      </c>
      <c r="D173" s="193" t="str">
        <f t="shared" si="43"/>
        <v>祁彬210221196801094853</v>
      </c>
      <c r="E173" s="155">
        <v>18339995027</v>
      </c>
      <c r="F173" s="115"/>
      <c r="G173" s="115">
        <v>9</v>
      </c>
      <c r="H173" s="115">
        <v>3</v>
      </c>
      <c r="I173" s="115">
        <v>8</v>
      </c>
      <c r="J173" s="115">
        <v>804</v>
      </c>
      <c r="K173" s="115">
        <v>94.65</v>
      </c>
      <c r="L173" s="115">
        <v>8000</v>
      </c>
      <c r="M173" s="115"/>
      <c r="N173" s="115"/>
      <c r="O173" s="431">
        <v>7800</v>
      </c>
      <c r="P173" s="115">
        <f>ROUND(O173*K173,0)</f>
        <v>738270</v>
      </c>
      <c r="Q173" s="115" t="s">
        <v>56</v>
      </c>
      <c r="R173" s="115">
        <f>738270+38618</f>
        <v>776888</v>
      </c>
      <c r="S173" s="115">
        <v>-38618</v>
      </c>
      <c r="T173" s="115" t="s">
        <v>47</v>
      </c>
      <c r="U173" s="115"/>
      <c r="V173" s="115"/>
      <c r="W173" s="115">
        <v>6152</v>
      </c>
      <c r="X173" s="115">
        <v>80</v>
      </c>
      <c r="Y173" s="115"/>
      <c r="Z173" s="115" t="s">
        <v>48</v>
      </c>
      <c r="AA173" s="115"/>
      <c r="AB173" s="115"/>
      <c r="AC173" s="115"/>
      <c r="AD173" s="115"/>
      <c r="AE173" s="115"/>
      <c r="AF173" s="291"/>
      <c r="AG173" s="246"/>
      <c r="AH173" s="133"/>
      <c r="AI173" s="132">
        <f t="shared" si="55"/>
        <v>783120</v>
      </c>
      <c r="AJ173" s="132">
        <f t="shared" si="56"/>
        <v>783120</v>
      </c>
      <c r="AK173" s="132">
        <f t="shared" si="57"/>
        <v>0</v>
      </c>
      <c r="AL173" s="176"/>
      <c r="AM173" s="133"/>
      <c r="AN173" s="246">
        <v>44841</v>
      </c>
      <c r="AO173" s="259"/>
    </row>
    <row r="174" s="187" customFormat="1" customHeight="1" spans="1:41">
      <c r="A174" s="115" t="s">
        <v>665</v>
      </c>
      <c r="B174" s="115" t="s">
        <v>666</v>
      </c>
      <c r="C174" s="193" t="s">
        <v>667</v>
      </c>
      <c r="D174" s="193" t="str">
        <f t="shared" si="43"/>
        <v>刘洪英410511196607110688</v>
      </c>
      <c r="E174" s="155" t="s">
        <v>668</v>
      </c>
      <c r="F174" s="115" t="s">
        <v>669</v>
      </c>
      <c r="G174" s="115">
        <v>11</v>
      </c>
      <c r="H174" s="115">
        <v>3</v>
      </c>
      <c r="I174" s="115">
        <v>25</v>
      </c>
      <c r="J174" s="115">
        <v>2503</v>
      </c>
      <c r="K174" s="115">
        <v>151.44</v>
      </c>
      <c r="L174" s="115">
        <v>8000</v>
      </c>
      <c r="M174" s="115"/>
      <c r="N174" s="115"/>
      <c r="O174" s="431">
        <v>7821.46</v>
      </c>
      <c r="P174" s="115">
        <f>ROUND(K174*O174,0)</f>
        <v>1184482</v>
      </c>
      <c r="Q174" s="115" t="s">
        <v>56</v>
      </c>
      <c r="R174" s="115">
        <v>1184482</v>
      </c>
      <c r="S174" s="115" t="s">
        <v>47</v>
      </c>
      <c r="T174" s="115"/>
      <c r="U174" s="115"/>
      <c r="V174" s="115"/>
      <c r="W174" s="115">
        <v>9843</v>
      </c>
      <c r="X174" s="115">
        <v>80</v>
      </c>
      <c r="Y174" s="115" t="s">
        <v>48</v>
      </c>
      <c r="Z174" s="115"/>
      <c r="AA174" s="115"/>
      <c r="AB174" s="115"/>
      <c r="AC174" s="115"/>
      <c r="AD174" s="115"/>
      <c r="AE174" s="115"/>
      <c r="AF174" s="291"/>
      <c r="AG174" s="246"/>
      <c r="AH174" s="133"/>
      <c r="AI174" s="132">
        <f t="shared" si="55"/>
        <v>1194405</v>
      </c>
      <c r="AJ174" s="132">
        <f t="shared" si="56"/>
        <v>1194405</v>
      </c>
      <c r="AK174" s="132">
        <f t="shared" si="57"/>
        <v>0</v>
      </c>
      <c r="AL174" s="176"/>
      <c r="AM174" s="133"/>
      <c r="AN174" s="246">
        <v>44841</v>
      </c>
      <c r="AO174" s="259"/>
    </row>
    <row r="175" s="187" customFormat="1" customHeight="1" spans="1:41">
      <c r="A175" s="115" t="s">
        <v>670</v>
      </c>
      <c r="B175" s="115" t="s">
        <v>671</v>
      </c>
      <c r="C175" s="193" t="s">
        <v>672</v>
      </c>
      <c r="D175" s="193" t="str">
        <f t="shared" si="43"/>
        <v>柴喜玲412701196210022022</v>
      </c>
      <c r="E175" s="155">
        <v>13700823415</v>
      </c>
      <c r="F175" s="115"/>
      <c r="G175" s="115">
        <v>3</v>
      </c>
      <c r="H175" s="115">
        <v>3</v>
      </c>
      <c r="I175" s="115">
        <v>10</v>
      </c>
      <c r="J175" s="115">
        <v>1023</v>
      </c>
      <c r="K175" s="115">
        <v>59.07</v>
      </c>
      <c r="L175" s="115">
        <v>20000</v>
      </c>
      <c r="M175" s="115"/>
      <c r="N175" s="115"/>
      <c r="O175" s="431">
        <v>9530.78</v>
      </c>
      <c r="P175" s="115">
        <f t="shared" ref="P175:P184" si="58">ROUND(O175*K175,0)</f>
        <v>562983</v>
      </c>
      <c r="Q175" s="115" t="s">
        <v>66</v>
      </c>
      <c r="R175" s="115">
        <v>312983</v>
      </c>
      <c r="S175" s="115" t="s">
        <v>47</v>
      </c>
      <c r="T175" s="115"/>
      <c r="U175" s="115"/>
      <c r="V175" s="115">
        <v>250000</v>
      </c>
      <c r="W175" s="115">
        <v>3839</v>
      </c>
      <c r="X175" s="115">
        <v>550</v>
      </c>
      <c r="Y175" s="115" t="s">
        <v>48</v>
      </c>
      <c r="Z175" s="115"/>
      <c r="AA175" s="115"/>
      <c r="AB175" s="115">
        <v>1805</v>
      </c>
      <c r="AC175" s="115"/>
      <c r="AD175" s="115"/>
      <c r="AE175" s="115"/>
      <c r="AF175" s="291"/>
      <c r="AG175" s="246"/>
      <c r="AH175" s="133"/>
      <c r="AI175" s="132">
        <f t="shared" si="55"/>
        <v>569177</v>
      </c>
      <c r="AJ175" s="132">
        <f t="shared" si="56"/>
        <v>567372</v>
      </c>
      <c r="AK175" s="132">
        <f t="shared" si="57"/>
        <v>1805</v>
      </c>
      <c r="AL175" s="176"/>
      <c r="AM175" s="133"/>
      <c r="AN175" s="246">
        <v>44841</v>
      </c>
      <c r="AO175" s="259"/>
    </row>
    <row r="176" s="187" customFormat="1" customHeight="1" spans="1:41">
      <c r="A176" s="115" t="s">
        <v>673</v>
      </c>
      <c r="B176" s="115" t="s">
        <v>674</v>
      </c>
      <c r="C176" s="193" t="s">
        <v>675</v>
      </c>
      <c r="D176" s="193" t="str">
        <f t="shared" si="43"/>
        <v>李俊卿410726198707150032</v>
      </c>
      <c r="E176" s="155">
        <v>17796647930</v>
      </c>
      <c r="F176" s="115"/>
      <c r="G176" s="115">
        <v>3</v>
      </c>
      <c r="H176" s="115">
        <v>3</v>
      </c>
      <c r="I176" s="115">
        <v>7</v>
      </c>
      <c r="J176" s="115">
        <v>710</v>
      </c>
      <c r="K176" s="115">
        <v>63</v>
      </c>
      <c r="L176" s="115">
        <v>20000</v>
      </c>
      <c r="M176" s="115"/>
      <c r="N176" s="115"/>
      <c r="O176" s="431">
        <v>8932.3709206148</v>
      </c>
      <c r="P176" s="115">
        <f t="shared" si="58"/>
        <v>562739</v>
      </c>
      <c r="Q176" s="115" t="s">
        <v>66</v>
      </c>
      <c r="R176" s="115">
        <v>283722</v>
      </c>
      <c r="S176" s="440"/>
      <c r="T176" s="115">
        <v>279017</v>
      </c>
      <c r="U176" s="115">
        <f>P176-R176</f>
        <v>279017</v>
      </c>
      <c r="V176" s="115"/>
      <c r="W176" s="115"/>
      <c r="X176" s="115"/>
      <c r="Y176" s="115"/>
      <c r="Z176" s="115"/>
      <c r="AA176" s="115"/>
      <c r="AB176" s="115">
        <v>62322</v>
      </c>
      <c r="AC176" s="115"/>
      <c r="AD176" s="115"/>
      <c r="AE176" s="115"/>
      <c r="AF176" s="291"/>
      <c r="AG176" s="246"/>
      <c r="AH176" s="133"/>
      <c r="AI176" s="132">
        <f t="shared" si="55"/>
        <v>346044</v>
      </c>
      <c r="AJ176" s="132">
        <f t="shared" si="56"/>
        <v>283722</v>
      </c>
      <c r="AK176" s="132">
        <f t="shared" si="57"/>
        <v>62322</v>
      </c>
      <c r="AL176" s="176"/>
      <c r="AM176" s="133"/>
      <c r="AN176" s="246">
        <v>44841</v>
      </c>
      <c r="AO176" s="259"/>
    </row>
    <row r="177" s="187" customFormat="1" customHeight="1" spans="1:41">
      <c r="A177" s="115" t="s">
        <v>676</v>
      </c>
      <c r="B177" s="115" t="s">
        <v>677</v>
      </c>
      <c r="C177" s="193" t="s">
        <v>678</v>
      </c>
      <c r="D177" s="193" t="str">
        <f t="shared" si="43"/>
        <v>洪艳510921198107059385</v>
      </c>
      <c r="E177" s="155">
        <v>18838088039</v>
      </c>
      <c r="F177" s="115"/>
      <c r="G177" s="115">
        <v>10</v>
      </c>
      <c r="H177" s="115">
        <v>2</v>
      </c>
      <c r="I177" s="115">
        <v>23</v>
      </c>
      <c r="J177" s="115">
        <v>2305</v>
      </c>
      <c r="K177" s="115">
        <v>93.84</v>
      </c>
      <c r="L177" s="115">
        <v>17900</v>
      </c>
      <c r="M177" s="115"/>
      <c r="N177" s="115"/>
      <c r="O177" s="431">
        <v>15000</v>
      </c>
      <c r="P177" s="115">
        <f t="shared" si="58"/>
        <v>1407600</v>
      </c>
      <c r="Q177" s="115" t="s">
        <v>66</v>
      </c>
      <c r="R177" s="115">
        <v>847600</v>
      </c>
      <c r="S177" s="115"/>
      <c r="T177" s="115" t="s">
        <v>47</v>
      </c>
      <c r="U177" s="115"/>
      <c r="V177" s="115">
        <v>560000</v>
      </c>
      <c r="W177" s="115">
        <v>6099</v>
      </c>
      <c r="X177" s="115">
        <v>80</v>
      </c>
      <c r="Y177" s="115" t="s">
        <v>48</v>
      </c>
      <c r="Z177" s="115"/>
      <c r="AA177" s="115"/>
      <c r="AB177" s="115">
        <v>1136</v>
      </c>
      <c r="AC177" s="115"/>
      <c r="AD177" s="115"/>
      <c r="AE177" s="115"/>
      <c r="AF177" s="291"/>
      <c r="AG177" s="246"/>
      <c r="AH177" s="133"/>
      <c r="AI177" s="132">
        <f t="shared" si="55"/>
        <v>1414915</v>
      </c>
      <c r="AJ177" s="132">
        <f t="shared" si="56"/>
        <v>1413779</v>
      </c>
      <c r="AK177" s="132">
        <f t="shared" si="57"/>
        <v>1136</v>
      </c>
      <c r="AL177" s="176"/>
      <c r="AM177" s="133"/>
      <c r="AN177" s="246">
        <v>44841</v>
      </c>
      <c r="AO177" s="259"/>
    </row>
    <row r="178" s="187" customFormat="1" customHeight="1" spans="1:41">
      <c r="A178" s="115" t="s">
        <v>679</v>
      </c>
      <c r="B178" s="115" t="s">
        <v>680</v>
      </c>
      <c r="C178" s="193" t="s">
        <v>681</v>
      </c>
      <c r="D178" s="193" t="str">
        <f t="shared" si="43"/>
        <v>张东东410923198909203018</v>
      </c>
      <c r="E178" s="155">
        <v>18538735920</v>
      </c>
      <c r="F178" s="115"/>
      <c r="G178" s="115">
        <v>3</v>
      </c>
      <c r="H178" s="115"/>
      <c r="I178" s="115">
        <v>10</v>
      </c>
      <c r="J178" s="115">
        <v>1012</v>
      </c>
      <c r="K178" s="115">
        <v>65.94</v>
      </c>
      <c r="L178" s="115">
        <v>20000</v>
      </c>
      <c r="M178" s="115"/>
      <c r="N178" s="115"/>
      <c r="O178" s="431">
        <v>9023.78</v>
      </c>
      <c r="P178" s="115">
        <f t="shared" si="58"/>
        <v>595028</v>
      </c>
      <c r="Q178" s="115" t="s">
        <v>66</v>
      </c>
      <c r="R178" s="115">
        <v>305028</v>
      </c>
      <c r="S178" s="115"/>
      <c r="T178" s="115">
        <v>290000</v>
      </c>
      <c r="U178" s="115"/>
      <c r="V178" s="115"/>
      <c r="W178" s="115">
        <v>4286</v>
      </c>
      <c r="X178" s="115">
        <v>550</v>
      </c>
      <c r="Y178" s="115"/>
      <c r="Z178" s="115" t="s">
        <v>48</v>
      </c>
      <c r="AA178" s="115"/>
      <c r="AB178" s="115">
        <f>1000+220+30</f>
        <v>1250</v>
      </c>
      <c r="AC178" s="115"/>
      <c r="AD178" s="115"/>
      <c r="AE178" s="115" t="s">
        <v>237</v>
      </c>
      <c r="AF178" s="291"/>
      <c r="AG178" s="246">
        <v>43315</v>
      </c>
      <c r="AH178" s="133">
        <f>R178+W178+X178</f>
        <v>309864</v>
      </c>
      <c r="AI178" s="132">
        <f t="shared" si="55"/>
        <v>311114</v>
      </c>
      <c r="AJ178" s="132">
        <f t="shared" si="56"/>
        <v>309864</v>
      </c>
      <c r="AK178" s="132">
        <f t="shared" si="57"/>
        <v>1250</v>
      </c>
      <c r="AL178" s="176"/>
      <c r="AM178" s="133"/>
      <c r="AN178" s="246">
        <v>44841</v>
      </c>
      <c r="AO178" s="259"/>
    </row>
    <row r="179" s="187" customFormat="1" customHeight="1" spans="1:41">
      <c r="A179" s="115" t="s">
        <v>682</v>
      </c>
      <c r="B179" s="115" t="s">
        <v>683</v>
      </c>
      <c r="C179" s="193" t="s">
        <v>684</v>
      </c>
      <c r="D179" s="193" t="str">
        <f t="shared" si="43"/>
        <v>管建军徐邱豫410105195511131624</v>
      </c>
      <c r="E179" s="155">
        <v>18538252755</v>
      </c>
      <c r="F179" s="115"/>
      <c r="G179" s="115">
        <v>3</v>
      </c>
      <c r="H179" s="115"/>
      <c r="I179" s="115">
        <v>13</v>
      </c>
      <c r="J179" s="115">
        <v>1313</v>
      </c>
      <c r="K179" s="115">
        <v>63.92</v>
      </c>
      <c r="L179" s="115">
        <v>20000</v>
      </c>
      <c r="M179" s="115"/>
      <c r="N179" s="115"/>
      <c r="O179" s="431">
        <v>8858.04</v>
      </c>
      <c r="P179" s="115">
        <f t="shared" si="58"/>
        <v>566206</v>
      </c>
      <c r="Q179" s="115" t="s">
        <v>56</v>
      </c>
      <c r="R179" s="115">
        <v>566206</v>
      </c>
      <c r="S179" s="115"/>
      <c r="T179" s="115" t="s">
        <v>47</v>
      </c>
      <c r="U179" s="115"/>
      <c r="V179" s="115"/>
      <c r="W179" s="115">
        <v>4154</v>
      </c>
      <c r="X179" s="115">
        <v>560</v>
      </c>
      <c r="Y179" s="115"/>
      <c r="Z179" s="115" t="s">
        <v>48</v>
      </c>
      <c r="AA179" s="115"/>
      <c r="AB179" s="115"/>
      <c r="AC179" s="115"/>
      <c r="AD179" s="115"/>
      <c r="AE179" s="115"/>
      <c r="AF179" s="291"/>
      <c r="AG179" s="246">
        <v>43092</v>
      </c>
      <c r="AH179" s="133">
        <f>AJ179</f>
        <v>570920</v>
      </c>
      <c r="AI179" s="132">
        <f t="shared" si="55"/>
        <v>570920</v>
      </c>
      <c r="AJ179" s="132">
        <f t="shared" si="56"/>
        <v>570920</v>
      </c>
      <c r="AK179" s="132">
        <f t="shared" si="57"/>
        <v>0</v>
      </c>
      <c r="AL179" s="176"/>
      <c r="AM179" s="133"/>
      <c r="AN179" s="246">
        <v>44841</v>
      </c>
      <c r="AO179" s="259"/>
    </row>
    <row r="180" s="187" customFormat="1" customHeight="1" spans="1:41">
      <c r="A180" s="115" t="s">
        <v>685</v>
      </c>
      <c r="B180" s="115" t="s">
        <v>686</v>
      </c>
      <c r="C180" s="546" t="s">
        <v>687</v>
      </c>
      <c r="D180" s="193" t="str">
        <f t="shared" si="43"/>
        <v>彭宜昕411727199606088542</v>
      </c>
      <c r="E180" s="155">
        <v>13839910709</v>
      </c>
      <c r="F180" s="115"/>
      <c r="G180" s="115">
        <v>3</v>
      </c>
      <c r="H180" s="115"/>
      <c r="I180" s="115">
        <v>18</v>
      </c>
      <c r="J180" s="115">
        <v>1828</v>
      </c>
      <c r="K180" s="115">
        <v>64.13</v>
      </c>
      <c r="L180" s="115">
        <v>30000</v>
      </c>
      <c r="M180" s="115"/>
      <c r="N180" s="115"/>
      <c r="O180" s="431">
        <v>14169.39</v>
      </c>
      <c r="P180" s="115">
        <f t="shared" si="58"/>
        <v>908683</v>
      </c>
      <c r="Q180" s="115" t="s">
        <v>66</v>
      </c>
      <c r="R180" s="115">
        <v>458683</v>
      </c>
      <c r="S180" s="115"/>
      <c r="T180" s="115">
        <v>450000</v>
      </c>
      <c r="U180" s="115"/>
      <c r="V180" s="115"/>
      <c r="W180" s="115">
        <v>4168</v>
      </c>
      <c r="X180" s="115">
        <v>550</v>
      </c>
      <c r="Y180" s="115"/>
      <c r="Z180" s="115" t="s">
        <v>48</v>
      </c>
      <c r="AA180" s="115"/>
      <c r="AB180" s="115">
        <f>30000+1265</f>
        <v>31265</v>
      </c>
      <c r="AC180" s="115"/>
      <c r="AD180" s="115"/>
      <c r="AE180" s="115" t="s">
        <v>237</v>
      </c>
      <c r="AF180" s="291" t="s">
        <v>688</v>
      </c>
      <c r="AG180" s="246">
        <v>43412</v>
      </c>
      <c r="AH180" s="133"/>
      <c r="AI180" s="132">
        <f t="shared" si="55"/>
        <v>494666</v>
      </c>
      <c r="AJ180" s="132">
        <f t="shared" si="56"/>
        <v>463401</v>
      </c>
      <c r="AK180" s="132">
        <f t="shared" si="57"/>
        <v>31265</v>
      </c>
      <c r="AL180" s="176" t="s">
        <v>689</v>
      </c>
      <c r="AM180" s="133"/>
      <c r="AN180" s="246">
        <v>44841</v>
      </c>
      <c r="AO180" s="259"/>
    </row>
    <row r="181" s="187" customFormat="1" customHeight="1" spans="1:41">
      <c r="A181" s="115" t="s">
        <v>690</v>
      </c>
      <c r="B181" s="115" t="s">
        <v>691</v>
      </c>
      <c r="C181" s="193" t="s">
        <v>692</v>
      </c>
      <c r="D181" s="193" t="str">
        <f t="shared" si="43"/>
        <v>张慧鹏410306197406300015</v>
      </c>
      <c r="E181" s="155">
        <v>13643885161</v>
      </c>
      <c r="F181" s="115"/>
      <c r="G181" s="115">
        <v>3</v>
      </c>
      <c r="H181" s="115"/>
      <c r="I181" s="115">
        <v>10</v>
      </c>
      <c r="J181" s="115">
        <v>1010</v>
      </c>
      <c r="K181" s="115">
        <v>63</v>
      </c>
      <c r="L181" s="115">
        <v>20000</v>
      </c>
      <c r="M181" s="115"/>
      <c r="N181" s="115"/>
      <c r="O181" s="431">
        <v>9011.06</v>
      </c>
      <c r="P181" s="115">
        <f t="shared" si="58"/>
        <v>567697</v>
      </c>
      <c r="Q181" s="115" t="s">
        <v>66</v>
      </c>
      <c r="R181" s="115">
        <v>292697</v>
      </c>
      <c r="S181" s="115"/>
      <c r="T181" s="115" t="s">
        <v>47</v>
      </c>
      <c r="U181" s="115"/>
      <c r="V181" s="115">
        <v>275000</v>
      </c>
      <c r="W181" s="115">
        <v>4095</v>
      </c>
      <c r="X181" s="115">
        <v>550</v>
      </c>
      <c r="Y181" s="115" t="s">
        <v>48</v>
      </c>
      <c r="Z181" s="115"/>
      <c r="AA181" s="115"/>
      <c r="AB181" s="115">
        <v>13.02</v>
      </c>
      <c r="AC181" s="115"/>
      <c r="AD181" s="115"/>
      <c r="AE181" s="115"/>
      <c r="AF181" s="291"/>
      <c r="AG181" s="246">
        <v>43287</v>
      </c>
      <c r="AH181" s="133">
        <f>R181+W181+X181</f>
        <v>297342</v>
      </c>
      <c r="AI181" s="132">
        <f t="shared" si="55"/>
        <v>572355.02</v>
      </c>
      <c r="AJ181" s="132">
        <f t="shared" si="56"/>
        <v>572342</v>
      </c>
      <c r="AK181" s="132">
        <f t="shared" si="57"/>
        <v>13.0200000000186</v>
      </c>
      <c r="AL181" s="176"/>
      <c r="AM181" s="133"/>
      <c r="AN181" s="246">
        <v>44841</v>
      </c>
      <c r="AO181" s="259"/>
    </row>
    <row r="182" s="187" customFormat="1" customHeight="1" spans="1:41">
      <c r="A182" s="115" t="s">
        <v>693</v>
      </c>
      <c r="B182" s="115" t="s">
        <v>694</v>
      </c>
      <c r="C182" s="193" t="s">
        <v>695</v>
      </c>
      <c r="D182" s="193" t="str">
        <f t="shared" si="43"/>
        <v>张慧民410306197104100026</v>
      </c>
      <c r="E182" s="155">
        <v>18037888896</v>
      </c>
      <c r="F182" s="115"/>
      <c r="G182" s="115">
        <v>3</v>
      </c>
      <c r="H182" s="115"/>
      <c r="I182" s="115">
        <v>7</v>
      </c>
      <c r="J182" s="115">
        <v>708</v>
      </c>
      <c r="K182" s="115">
        <v>61.98</v>
      </c>
      <c r="L182" s="115">
        <v>20000</v>
      </c>
      <c r="M182" s="115"/>
      <c r="N182" s="115"/>
      <c r="O182" s="431">
        <v>8981.28</v>
      </c>
      <c r="P182" s="115">
        <f t="shared" si="58"/>
        <v>556660</v>
      </c>
      <c r="Q182" s="115" t="s">
        <v>66</v>
      </c>
      <c r="R182" s="115">
        <v>291660</v>
      </c>
      <c r="S182" s="115"/>
      <c r="T182" s="115" t="s">
        <v>47</v>
      </c>
      <c r="U182" s="115"/>
      <c r="V182" s="115">
        <v>265000</v>
      </c>
      <c r="W182" s="115">
        <v>4028</v>
      </c>
      <c r="X182" s="115">
        <v>550</v>
      </c>
      <c r="Y182" s="115" t="s">
        <v>48</v>
      </c>
      <c r="Z182" s="115"/>
      <c r="AA182" s="115"/>
      <c r="AB182" s="115">
        <f>1577+230</f>
        <v>1807</v>
      </c>
      <c r="AC182" s="115"/>
      <c r="AD182" s="115"/>
      <c r="AE182" s="115"/>
      <c r="AF182" s="291"/>
      <c r="AG182" s="246">
        <v>43273</v>
      </c>
      <c r="AH182" s="133">
        <f>R182+W182+X182</f>
        <v>296238</v>
      </c>
      <c r="AI182" s="132">
        <f t="shared" si="55"/>
        <v>563045</v>
      </c>
      <c r="AJ182" s="132">
        <f t="shared" si="56"/>
        <v>561238</v>
      </c>
      <c r="AK182" s="132">
        <f t="shared" si="57"/>
        <v>1807</v>
      </c>
      <c r="AL182" s="176"/>
      <c r="AM182" s="133"/>
      <c r="AN182" s="246">
        <v>44841</v>
      </c>
      <c r="AO182" s="259"/>
    </row>
    <row r="183" s="187" customFormat="1" customHeight="1" spans="1:41">
      <c r="A183" s="115" t="s">
        <v>696</v>
      </c>
      <c r="B183" s="115" t="s">
        <v>697</v>
      </c>
      <c r="C183" s="193" t="s">
        <v>698</v>
      </c>
      <c r="D183" s="193" t="str">
        <f t="shared" si="43"/>
        <v>周燕群410105197006152829</v>
      </c>
      <c r="E183" s="155">
        <v>18638799102</v>
      </c>
      <c r="F183" s="115"/>
      <c r="G183" s="115">
        <v>3</v>
      </c>
      <c r="H183" s="115"/>
      <c r="I183" s="115">
        <v>13</v>
      </c>
      <c r="J183" s="115">
        <v>1306</v>
      </c>
      <c r="K183" s="115">
        <v>61.66</v>
      </c>
      <c r="L183" s="115">
        <v>20000</v>
      </c>
      <c r="M183" s="115"/>
      <c r="N183" s="115"/>
      <c r="O183" s="431">
        <v>8996.63</v>
      </c>
      <c r="P183" s="115">
        <f t="shared" si="58"/>
        <v>554732</v>
      </c>
      <c r="Q183" s="115" t="s">
        <v>56</v>
      </c>
      <c r="R183" s="115">
        <v>554732</v>
      </c>
      <c r="S183" s="115"/>
      <c r="T183" s="115" t="s">
        <v>47</v>
      </c>
      <c r="U183" s="115"/>
      <c r="V183" s="115"/>
      <c r="W183" s="115">
        <v>4007</v>
      </c>
      <c r="X183" s="115">
        <v>550</v>
      </c>
      <c r="Y183" s="115"/>
      <c r="Z183" s="115" t="s">
        <v>48</v>
      </c>
      <c r="AA183" s="115"/>
      <c r="AB183" s="115"/>
      <c r="AC183" s="115"/>
      <c r="AD183" s="115"/>
      <c r="AE183" s="115" t="s">
        <v>237</v>
      </c>
      <c r="AF183" s="291" t="s">
        <v>699</v>
      </c>
      <c r="AG183" s="246">
        <v>43091</v>
      </c>
      <c r="AH183" s="133"/>
      <c r="AI183" s="132">
        <f t="shared" si="55"/>
        <v>559289</v>
      </c>
      <c r="AJ183" s="132">
        <f t="shared" si="56"/>
        <v>559289</v>
      </c>
      <c r="AK183" s="132">
        <f t="shared" si="57"/>
        <v>0</v>
      </c>
      <c r="AL183" s="176"/>
      <c r="AM183" s="133"/>
      <c r="AN183" s="246">
        <v>44841</v>
      </c>
      <c r="AO183" s="259"/>
    </row>
    <row r="184" s="187" customFormat="1" customHeight="1" spans="1:41">
      <c r="A184" s="115" t="s">
        <v>700</v>
      </c>
      <c r="B184" s="115" t="s">
        <v>701</v>
      </c>
      <c r="C184" s="193" t="s">
        <v>702</v>
      </c>
      <c r="D184" s="193" t="str">
        <f t="shared" si="43"/>
        <v>万俐410184198906040048</v>
      </c>
      <c r="E184" s="155">
        <v>13523077066</v>
      </c>
      <c r="F184" s="115"/>
      <c r="G184" s="115">
        <v>3</v>
      </c>
      <c r="H184" s="115"/>
      <c r="I184" s="115">
        <v>16</v>
      </c>
      <c r="J184" s="115">
        <v>1632</v>
      </c>
      <c r="K184" s="115">
        <v>55.78</v>
      </c>
      <c r="L184" s="115">
        <v>20000</v>
      </c>
      <c r="M184" s="115"/>
      <c r="N184" s="115"/>
      <c r="O184" s="431">
        <v>14025</v>
      </c>
      <c r="P184" s="115">
        <f t="shared" si="58"/>
        <v>782315</v>
      </c>
      <c r="Q184" s="115" t="s">
        <v>66</v>
      </c>
      <c r="R184" s="115">
        <v>393315</v>
      </c>
      <c r="S184" s="115"/>
      <c r="T184" s="115">
        <v>389000</v>
      </c>
      <c r="U184" s="115"/>
      <c r="V184" s="115"/>
      <c r="W184" s="115">
        <v>3625</v>
      </c>
      <c r="X184" s="115">
        <v>550</v>
      </c>
      <c r="Y184" s="115"/>
      <c r="Z184" s="115" t="s">
        <v>48</v>
      </c>
      <c r="AA184" s="115"/>
      <c r="AB184" s="115"/>
      <c r="AC184" s="115"/>
      <c r="AD184" s="115"/>
      <c r="AE184" s="115" t="s">
        <v>237</v>
      </c>
      <c r="AF184" s="291" t="s">
        <v>703</v>
      </c>
      <c r="AG184" s="246">
        <v>43066</v>
      </c>
      <c r="AH184" s="133">
        <f>X184+W184</f>
        <v>4175</v>
      </c>
      <c r="AI184" s="132">
        <f t="shared" si="55"/>
        <v>397490</v>
      </c>
      <c r="AJ184" s="132">
        <f t="shared" si="56"/>
        <v>397490</v>
      </c>
      <c r="AK184" s="132">
        <f t="shared" si="57"/>
        <v>0</v>
      </c>
      <c r="AL184" s="176"/>
      <c r="AM184" s="133"/>
      <c r="AN184" s="246">
        <v>44841</v>
      </c>
      <c r="AO184" s="259"/>
    </row>
    <row r="185" s="187" customFormat="1" customHeight="1" spans="1:41">
      <c r="A185" s="115" t="s">
        <v>704</v>
      </c>
      <c r="B185" s="115" t="s">
        <v>705</v>
      </c>
      <c r="C185" s="193" t="s">
        <v>706</v>
      </c>
      <c r="D185" s="193" t="str">
        <f t="shared" si="43"/>
        <v>张郭恒410105197812223828</v>
      </c>
      <c r="E185" s="155" t="s">
        <v>707</v>
      </c>
      <c r="F185" s="115"/>
      <c r="G185" s="115">
        <v>9</v>
      </c>
      <c r="H185" s="115">
        <v>3</v>
      </c>
      <c r="I185" s="115">
        <v>18</v>
      </c>
      <c r="J185" s="115">
        <v>1803</v>
      </c>
      <c r="K185" s="115">
        <v>99.56</v>
      </c>
      <c r="L185" s="115">
        <v>9032</v>
      </c>
      <c r="M185" s="115"/>
      <c r="N185" s="115"/>
      <c r="O185" s="431">
        <v>8932.45</v>
      </c>
      <c r="P185" s="115">
        <v>889315</v>
      </c>
      <c r="Q185" s="115" t="s">
        <v>46</v>
      </c>
      <c r="R185" s="115">
        <v>299315</v>
      </c>
      <c r="S185" s="115"/>
      <c r="T185" s="115" t="s">
        <v>47</v>
      </c>
      <c r="U185" s="115"/>
      <c r="V185" s="115">
        <v>590000</v>
      </c>
      <c r="W185" s="115">
        <v>6471</v>
      </c>
      <c r="X185" s="115">
        <v>80</v>
      </c>
      <c r="Y185" s="115"/>
      <c r="Z185" s="115" t="s">
        <v>48</v>
      </c>
      <c r="AA185" s="115"/>
      <c r="AB185" s="115"/>
      <c r="AC185" s="115"/>
      <c r="AD185" s="115"/>
      <c r="AE185" s="115"/>
      <c r="AF185" s="291"/>
      <c r="AG185" s="246"/>
      <c r="AH185" s="133"/>
      <c r="AI185" s="132">
        <f t="shared" si="55"/>
        <v>895866</v>
      </c>
      <c r="AJ185" s="132">
        <f t="shared" si="56"/>
        <v>895866</v>
      </c>
      <c r="AK185" s="132">
        <f t="shared" si="57"/>
        <v>0</v>
      </c>
      <c r="AL185" s="176"/>
      <c r="AM185" s="133"/>
      <c r="AN185" s="246">
        <v>44841</v>
      </c>
      <c r="AO185" s="259"/>
    </row>
    <row r="186" s="187" customFormat="1" customHeight="1" spans="1:41">
      <c r="A186" s="115" t="s">
        <v>708</v>
      </c>
      <c r="B186" s="115" t="s">
        <v>709</v>
      </c>
      <c r="C186" s="193" t="s">
        <v>710</v>
      </c>
      <c r="D186" s="193" t="str">
        <f t="shared" si="43"/>
        <v>张艳青410105197804060523</v>
      </c>
      <c r="E186" s="155">
        <v>15538151638</v>
      </c>
      <c r="F186" s="115"/>
      <c r="G186" s="115">
        <v>9</v>
      </c>
      <c r="H186" s="115">
        <v>3</v>
      </c>
      <c r="I186" s="115">
        <v>13</v>
      </c>
      <c r="J186" s="115">
        <v>1301</v>
      </c>
      <c r="K186" s="115">
        <v>93.4</v>
      </c>
      <c r="L186" s="115">
        <v>8734</v>
      </c>
      <c r="M186" s="115"/>
      <c r="N186" s="115"/>
      <c r="O186" s="431">
        <v>8633.6</v>
      </c>
      <c r="P186" s="115">
        <f>ROUND(O186*K186,0)</f>
        <v>806378</v>
      </c>
      <c r="Q186" s="115" t="s">
        <v>46</v>
      </c>
      <c r="R186" s="115">
        <v>243378</v>
      </c>
      <c r="S186" s="115"/>
      <c r="T186" s="115" t="s">
        <v>47</v>
      </c>
      <c r="U186" s="115"/>
      <c r="V186" s="115">
        <v>563000</v>
      </c>
      <c r="W186" s="115">
        <v>6071</v>
      </c>
      <c r="X186" s="115">
        <v>80</v>
      </c>
      <c r="Y186" s="115"/>
      <c r="Z186" s="115" t="s">
        <v>48</v>
      </c>
      <c r="AA186" s="115"/>
      <c r="AB186" s="115">
        <v>1000</v>
      </c>
      <c r="AC186" s="115"/>
      <c r="AD186" s="115"/>
      <c r="AE186" s="115"/>
      <c r="AF186" s="291"/>
      <c r="AG186" s="246">
        <v>43971</v>
      </c>
      <c r="AH186" s="133"/>
      <c r="AI186" s="132">
        <f t="shared" si="55"/>
        <v>813529</v>
      </c>
      <c r="AJ186" s="132">
        <f t="shared" si="56"/>
        <v>812529</v>
      </c>
      <c r="AK186" s="132">
        <f t="shared" si="57"/>
        <v>1000</v>
      </c>
      <c r="AL186" s="176"/>
      <c r="AM186" s="133"/>
      <c r="AN186" s="246">
        <v>44841</v>
      </c>
      <c r="AO186" s="259"/>
    </row>
    <row r="187" s="187" customFormat="1" customHeight="1" spans="1:41">
      <c r="A187" s="115" t="s">
        <v>711</v>
      </c>
      <c r="B187" s="115" t="s">
        <v>712</v>
      </c>
      <c r="C187" s="193" t="s">
        <v>713</v>
      </c>
      <c r="D187" s="193" t="str">
        <f t="shared" si="43"/>
        <v>王国强、刘静410523199001013210</v>
      </c>
      <c r="E187" s="155">
        <v>15560186600</v>
      </c>
      <c r="F187" s="115"/>
      <c r="G187" s="115">
        <v>9</v>
      </c>
      <c r="H187" s="115">
        <v>3</v>
      </c>
      <c r="I187" s="115">
        <v>29</v>
      </c>
      <c r="J187" s="115">
        <v>2903</v>
      </c>
      <c r="K187" s="115">
        <v>99.56</v>
      </c>
      <c r="L187" s="115">
        <v>9100</v>
      </c>
      <c r="M187" s="115"/>
      <c r="N187" s="115"/>
      <c r="O187" s="431">
        <v>9000</v>
      </c>
      <c r="P187" s="115">
        <v>896040</v>
      </c>
      <c r="Q187" s="115" t="s">
        <v>46</v>
      </c>
      <c r="R187" s="115">
        <v>356040</v>
      </c>
      <c r="S187" s="115"/>
      <c r="T187" s="115" t="s">
        <v>47</v>
      </c>
      <c r="U187" s="115"/>
      <c r="V187" s="115">
        <v>540000</v>
      </c>
      <c r="W187" s="115">
        <v>6471</v>
      </c>
      <c r="X187" s="115">
        <v>90</v>
      </c>
      <c r="Y187" s="115"/>
      <c r="Z187" s="115" t="s">
        <v>48</v>
      </c>
      <c r="AA187" s="115"/>
      <c r="AB187" s="115"/>
      <c r="AC187" s="115"/>
      <c r="AD187" s="115"/>
      <c r="AE187" s="115"/>
      <c r="AF187" s="291"/>
      <c r="AG187" s="246">
        <v>43092</v>
      </c>
      <c r="AH187" s="133">
        <f>W187+X187+AB187</f>
        <v>6561</v>
      </c>
      <c r="AI187" s="132">
        <f t="shared" si="55"/>
        <v>902601</v>
      </c>
      <c r="AJ187" s="132">
        <f t="shared" si="56"/>
        <v>902601</v>
      </c>
      <c r="AK187" s="132">
        <f t="shared" si="57"/>
        <v>0</v>
      </c>
      <c r="AL187" s="176"/>
      <c r="AM187" s="133"/>
      <c r="AN187" s="246">
        <v>44841</v>
      </c>
      <c r="AO187" s="259"/>
    </row>
    <row r="188" s="187" customFormat="1" customHeight="1" spans="1:41">
      <c r="A188" s="115" t="s">
        <v>714</v>
      </c>
      <c r="B188" s="115" t="s">
        <v>715</v>
      </c>
      <c r="C188" s="193" t="s">
        <v>716</v>
      </c>
      <c r="D188" s="193" t="str">
        <f t="shared" si="43"/>
        <v>王伟410502198308191513</v>
      </c>
      <c r="E188" s="155">
        <v>13721415967</v>
      </c>
      <c r="F188" s="115"/>
      <c r="G188" s="115">
        <v>6</v>
      </c>
      <c r="H188" s="115">
        <v>1</v>
      </c>
      <c r="I188" s="115">
        <v>12</v>
      </c>
      <c r="J188" s="115">
        <v>1208</v>
      </c>
      <c r="K188" s="115">
        <v>109.13</v>
      </c>
      <c r="L188" s="115">
        <v>17900</v>
      </c>
      <c r="M188" s="115"/>
      <c r="N188" s="115"/>
      <c r="O188" s="431">
        <v>14500</v>
      </c>
      <c r="P188" s="115">
        <f>ROUND(O188*K188,0)</f>
        <v>1582385</v>
      </c>
      <c r="Q188" s="115" t="s">
        <v>56</v>
      </c>
      <c r="R188" s="115">
        <v>1580000</v>
      </c>
      <c r="S188" s="115"/>
      <c r="T188" s="115">
        <v>2385</v>
      </c>
      <c r="U188" s="115"/>
      <c r="V188" s="115"/>
      <c r="W188" s="115"/>
      <c r="X188" s="115"/>
      <c r="Y188" s="115"/>
      <c r="Z188" s="115"/>
      <c r="AA188" s="115"/>
      <c r="AB188" s="115"/>
      <c r="AC188" s="115"/>
      <c r="AD188" s="115"/>
      <c r="AE188" s="115"/>
      <c r="AF188" s="291"/>
      <c r="AG188" s="246">
        <v>42848</v>
      </c>
      <c r="AH188" s="133">
        <v>580000</v>
      </c>
      <c r="AI188" s="132">
        <f t="shared" ref="AI188:AI198" si="59">R188+V188+W188+X188+AA188+AB188+AC188+AD188</f>
        <v>1580000</v>
      </c>
      <c r="AJ188" s="132">
        <f t="shared" ref="AJ188:AJ198" si="60">R188+W188+V188+X188+AA188</f>
        <v>1580000</v>
      </c>
      <c r="AK188" s="132">
        <f t="shared" ref="AK188:AK198" si="61">AI188-AJ188</f>
        <v>0</v>
      </c>
      <c r="AL188" s="176" t="s">
        <v>717</v>
      </c>
      <c r="AM188" s="133"/>
      <c r="AN188" s="246">
        <v>44841</v>
      </c>
      <c r="AO188" s="259"/>
    </row>
    <row r="189" s="187" customFormat="1" customHeight="1" spans="1:41">
      <c r="A189" s="115" t="s">
        <v>718</v>
      </c>
      <c r="B189" s="115" t="s">
        <v>719</v>
      </c>
      <c r="C189" s="193" t="s">
        <v>720</v>
      </c>
      <c r="D189" s="193" t="str">
        <f t="shared" si="43"/>
        <v>陈丽413025198109290084</v>
      </c>
      <c r="E189" s="155">
        <v>13598862597</v>
      </c>
      <c r="F189" s="115"/>
      <c r="G189" s="115">
        <v>3</v>
      </c>
      <c r="H189" s="115"/>
      <c r="I189" s="115">
        <v>11</v>
      </c>
      <c r="J189" s="115">
        <v>1121</v>
      </c>
      <c r="K189" s="115">
        <v>71.53</v>
      </c>
      <c r="L189" s="115">
        <v>20000</v>
      </c>
      <c r="M189" s="115"/>
      <c r="N189" s="115"/>
      <c r="O189" s="431">
        <v>8654.84</v>
      </c>
      <c r="P189" s="115">
        <f>ROUND(O189*K189,0)</f>
        <v>619081</v>
      </c>
      <c r="Q189" s="115" t="s">
        <v>66</v>
      </c>
      <c r="R189" s="115">
        <v>310081</v>
      </c>
      <c r="S189" s="115"/>
      <c r="T189" s="115">
        <v>309000</v>
      </c>
      <c r="U189" s="115"/>
      <c r="V189" s="115"/>
      <c r="W189" s="115">
        <v>4649</v>
      </c>
      <c r="X189" s="115">
        <v>550</v>
      </c>
      <c r="Y189" s="115" t="s">
        <v>48</v>
      </c>
      <c r="Z189" s="115"/>
      <c r="AA189" s="115"/>
      <c r="AB189" s="115"/>
      <c r="AC189" s="115"/>
      <c r="AD189" s="115"/>
      <c r="AE189" s="115"/>
      <c r="AF189" s="291"/>
      <c r="AG189" s="246">
        <v>43084</v>
      </c>
      <c r="AH189" s="133">
        <f>AJ189</f>
        <v>315280</v>
      </c>
      <c r="AI189" s="132">
        <f t="shared" si="59"/>
        <v>315280</v>
      </c>
      <c r="AJ189" s="132">
        <f t="shared" si="60"/>
        <v>315280</v>
      </c>
      <c r="AK189" s="132">
        <f t="shared" si="61"/>
        <v>0</v>
      </c>
      <c r="AL189" s="176"/>
      <c r="AM189" s="133"/>
      <c r="AN189" s="246">
        <v>44841</v>
      </c>
      <c r="AO189" s="259"/>
    </row>
    <row r="190" s="187" customFormat="1" customHeight="1" spans="1:41">
      <c r="A190" s="115" t="s">
        <v>721</v>
      </c>
      <c r="B190" s="115" t="s">
        <v>722</v>
      </c>
      <c r="C190" s="193" t="s">
        <v>723</v>
      </c>
      <c r="D190" s="193" t="str">
        <f t="shared" si="43"/>
        <v>王婷婷411521198805172524</v>
      </c>
      <c r="E190" s="155">
        <v>15690857663</v>
      </c>
      <c r="F190" s="115" t="s">
        <v>724</v>
      </c>
      <c r="G190" s="115">
        <v>9</v>
      </c>
      <c r="H190" s="115">
        <v>3</v>
      </c>
      <c r="I190" s="115">
        <v>28</v>
      </c>
      <c r="J190" s="115">
        <v>2802</v>
      </c>
      <c r="K190" s="115">
        <v>99.56</v>
      </c>
      <c r="L190" s="115">
        <v>19550</v>
      </c>
      <c r="M190" s="115"/>
      <c r="N190" s="115"/>
      <c r="O190" s="431">
        <v>19550</v>
      </c>
      <c r="P190" s="115">
        <v>1946398</v>
      </c>
      <c r="Q190" s="115" t="s">
        <v>66</v>
      </c>
      <c r="R190" s="115">
        <v>1146398</v>
      </c>
      <c r="S190" s="115"/>
      <c r="T190" s="115" t="s">
        <v>47</v>
      </c>
      <c r="U190" s="115"/>
      <c r="V190" s="115">
        <v>800000</v>
      </c>
      <c r="W190" s="115">
        <v>6471</v>
      </c>
      <c r="X190" s="115">
        <v>80</v>
      </c>
      <c r="Y190" s="115"/>
      <c r="Z190" s="115" t="s">
        <v>48</v>
      </c>
      <c r="AA190" s="115"/>
      <c r="AB190" s="115"/>
      <c r="AC190" s="115"/>
      <c r="AD190" s="115"/>
      <c r="AE190" s="115"/>
      <c r="AF190" s="291"/>
      <c r="AG190" s="246">
        <v>43348</v>
      </c>
      <c r="AH190" s="133">
        <f>R190+W190+X190</f>
        <v>1152949</v>
      </c>
      <c r="AI190" s="132">
        <f t="shared" si="59"/>
        <v>1952949</v>
      </c>
      <c r="AJ190" s="132">
        <f t="shared" si="60"/>
        <v>1952949</v>
      </c>
      <c r="AK190" s="132">
        <f t="shared" si="61"/>
        <v>0</v>
      </c>
      <c r="AL190" s="176"/>
      <c r="AM190" s="133"/>
      <c r="AN190" s="246">
        <v>44841</v>
      </c>
      <c r="AO190" s="259"/>
    </row>
    <row r="191" s="187" customFormat="1" customHeight="1" spans="1:41">
      <c r="A191" s="115" t="s">
        <v>725</v>
      </c>
      <c r="B191" s="115" t="s">
        <v>726</v>
      </c>
      <c r="C191" s="193" t="s">
        <v>727</v>
      </c>
      <c r="D191" s="193" t="str">
        <f t="shared" si="43"/>
        <v>李秋锦412301198312114021</v>
      </c>
      <c r="E191" s="155">
        <v>13653829655</v>
      </c>
      <c r="F191" s="115"/>
      <c r="G191" s="115">
        <v>3</v>
      </c>
      <c r="H191" s="115"/>
      <c r="I191" s="115">
        <v>23</v>
      </c>
      <c r="J191" s="115">
        <v>2334</v>
      </c>
      <c r="K191" s="115">
        <v>55.51</v>
      </c>
      <c r="L191" s="115">
        <v>30000</v>
      </c>
      <c r="M191" s="115"/>
      <c r="N191" s="115"/>
      <c r="O191" s="431">
        <v>14684.11</v>
      </c>
      <c r="P191" s="115">
        <f>ROUND(O191*K191,0)</f>
        <v>815115</v>
      </c>
      <c r="Q191" s="115" t="s">
        <v>56</v>
      </c>
      <c r="R191" s="115">
        <v>815115</v>
      </c>
      <c r="S191" s="115"/>
      <c r="T191" s="115" t="s">
        <v>47</v>
      </c>
      <c r="U191" s="115"/>
      <c r="V191" s="115"/>
      <c r="W191" s="115">
        <v>3608</v>
      </c>
      <c r="X191" s="115">
        <v>550</v>
      </c>
      <c r="Y191" s="115" t="s">
        <v>48</v>
      </c>
      <c r="AA191" s="115"/>
      <c r="AB191" s="115"/>
      <c r="AC191" s="115"/>
      <c r="AD191" s="115"/>
      <c r="AE191" s="115" t="s">
        <v>237</v>
      </c>
      <c r="AF191" s="291" t="s">
        <v>165</v>
      </c>
      <c r="AG191" s="246">
        <v>43075</v>
      </c>
      <c r="AH191" s="133">
        <f>AJ191</f>
        <v>819273</v>
      </c>
      <c r="AI191" s="132">
        <f t="shared" si="59"/>
        <v>819273</v>
      </c>
      <c r="AJ191" s="132">
        <f t="shared" si="60"/>
        <v>819273</v>
      </c>
      <c r="AK191" s="132">
        <f t="shared" si="61"/>
        <v>0</v>
      </c>
      <c r="AL191" s="176"/>
      <c r="AM191" s="133"/>
      <c r="AN191" s="246">
        <v>44841</v>
      </c>
      <c r="AO191" s="259"/>
    </row>
    <row r="192" s="187" customFormat="1" customHeight="1" spans="1:41">
      <c r="A192" s="115" t="s">
        <v>728</v>
      </c>
      <c r="B192" s="115" t="s">
        <v>729</v>
      </c>
      <c r="C192" s="193" t="s">
        <v>730</v>
      </c>
      <c r="D192" s="193" t="str">
        <f t="shared" si="43"/>
        <v>王品412326198706232140</v>
      </c>
      <c r="E192" s="155">
        <v>15978425688</v>
      </c>
      <c r="F192" s="115"/>
      <c r="G192" s="115">
        <v>10</v>
      </c>
      <c r="H192" s="115">
        <v>2</v>
      </c>
      <c r="I192" s="115">
        <v>9</v>
      </c>
      <c r="J192" s="115">
        <v>905</v>
      </c>
      <c r="K192" s="115">
        <v>93.84</v>
      </c>
      <c r="L192" s="115">
        <v>17900</v>
      </c>
      <c r="M192" s="115"/>
      <c r="N192" s="115"/>
      <c r="O192" s="431">
        <v>13800</v>
      </c>
      <c r="P192" s="115">
        <f>ROUND(O192*K192,0)</f>
        <v>1294992</v>
      </c>
      <c r="Q192" s="115" t="s">
        <v>56</v>
      </c>
      <c r="R192" s="115">
        <v>1294992</v>
      </c>
      <c r="S192" s="115"/>
      <c r="T192" s="115" t="s">
        <v>47</v>
      </c>
      <c r="U192" s="115"/>
      <c r="V192" s="115"/>
      <c r="W192" s="115">
        <v>6099</v>
      </c>
      <c r="X192" s="115">
        <v>80</v>
      </c>
      <c r="Y192" s="115" t="s">
        <v>48</v>
      </c>
      <c r="Z192" s="115"/>
      <c r="AA192" s="115"/>
      <c r="AB192" s="115"/>
      <c r="AC192" s="115"/>
      <c r="AD192" s="115"/>
      <c r="AE192" s="115"/>
      <c r="AF192" s="291"/>
      <c r="AG192" s="246">
        <v>43112</v>
      </c>
      <c r="AH192" s="133">
        <f>AJ192</f>
        <v>1301171</v>
      </c>
      <c r="AI192" s="132">
        <f t="shared" si="59"/>
        <v>1301171</v>
      </c>
      <c r="AJ192" s="132">
        <f t="shared" si="60"/>
        <v>1301171</v>
      </c>
      <c r="AK192" s="132">
        <f t="shared" si="61"/>
        <v>0</v>
      </c>
      <c r="AL192" s="176"/>
      <c r="AM192" s="133"/>
      <c r="AN192" s="246">
        <v>44841</v>
      </c>
      <c r="AO192" s="259"/>
    </row>
    <row r="193" s="187" customFormat="1" customHeight="1" spans="1:41">
      <c r="A193" s="115" t="s">
        <v>731</v>
      </c>
      <c r="B193" s="115" t="s">
        <v>732</v>
      </c>
      <c r="C193" s="193" t="s">
        <v>733</v>
      </c>
      <c r="D193" s="193" t="str">
        <f t="shared" si="43"/>
        <v>吴彦红371428198911171089</v>
      </c>
      <c r="E193" s="155">
        <v>17537136020</v>
      </c>
      <c r="F193" s="115"/>
      <c r="G193" s="115">
        <v>3</v>
      </c>
      <c r="H193" s="115"/>
      <c r="I193" s="115">
        <v>5</v>
      </c>
      <c r="J193" s="115">
        <v>527</v>
      </c>
      <c r="K193" s="115">
        <v>58.43</v>
      </c>
      <c r="L193" s="115">
        <v>20000</v>
      </c>
      <c r="M193" s="115"/>
      <c r="N193" s="115"/>
      <c r="O193" s="431">
        <v>9435.72</v>
      </c>
      <c r="P193" s="115">
        <f>ROUND(O193*K193,0)</f>
        <v>551329</v>
      </c>
      <c r="Q193" s="115" t="s">
        <v>66</v>
      </c>
      <c r="R193" s="115">
        <v>281329</v>
      </c>
      <c r="S193" s="115"/>
      <c r="T193" s="115" t="s">
        <v>47</v>
      </c>
      <c r="U193" s="115"/>
      <c r="V193" s="115">
        <v>270000</v>
      </c>
      <c r="W193" s="115">
        <v>3797</v>
      </c>
      <c r="X193" s="115">
        <v>550</v>
      </c>
      <c r="Y193" s="115" t="s">
        <v>48</v>
      </c>
      <c r="Z193" s="115"/>
      <c r="AA193" s="115"/>
      <c r="AB193" s="115">
        <f>1577+230</f>
        <v>1807</v>
      </c>
      <c r="AC193" s="115"/>
      <c r="AD193" s="115"/>
      <c r="AE193" s="115"/>
      <c r="AF193" s="291"/>
      <c r="AG193" s="246">
        <v>43068</v>
      </c>
      <c r="AH193" s="133">
        <f>W193+X193</f>
        <v>4347</v>
      </c>
      <c r="AI193" s="132">
        <f t="shared" si="59"/>
        <v>557483</v>
      </c>
      <c r="AJ193" s="132">
        <f t="shared" si="60"/>
        <v>555676</v>
      </c>
      <c r="AK193" s="132">
        <f t="shared" si="61"/>
        <v>1807</v>
      </c>
      <c r="AL193" s="176"/>
      <c r="AM193" s="133"/>
      <c r="AN193" s="246">
        <v>44841</v>
      </c>
      <c r="AO193" s="259"/>
    </row>
    <row r="194" s="187" customFormat="1" customHeight="1" spans="1:41">
      <c r="A194" s="115" t="s">
        <v>734</v>
      </c>
      <c r="B194" s="115" t="s">
        <v>735</v>
      </c>
      <c r="C194" s="193" t="s">
        <v>736</v>
      </c>
      <c r="D194" s="193" t="str">
        <f t="shared" si="43"/>
        <v>韩颖410105198507260048</v>
      </c>
      <c r="E194" s="155">
        <v>15824809805</v>
      </c>
      <c r="F194" s="115"/>
      <c r="G194" s="115">
        <v>11</v>
      </c>
      <c r="H194" s="115">
        <v>3</v>
      </c>
      <c r="I194" s="115">
        <v>7</v>
      </c>
      <c r="J194" s="115">
        <v>701</v>
      </c>
      <c r="K194" s="115">
        <v>149.28</v>
      </c>
      <c r="L194" s="115">
        <v>8902</v>
      </c>
      <c r="M194" s="115"/>
      <c r="N194" s="115"/>
      <c r="O194" s="431">
        <v>8802.400323</v>
      </c>
      <c r="P194" s="115">
        <f>ROUND(K194*O194,0)</f>
        <v>1314022</v>
      </c>
      <c r="Q194" s="115" t="s">
        <v>46</v>
      </c>
      <c r="R194" s="115">
        <v>864022</v>
      </c>
      <c r="S194" s="115" t="s">
        <v>47</v>
      </c>
      <c r="T194" s="115"/>
      <c r="U194" s="115"/>
      <c r="V194" s="115">
        <v>450000</v>
      </c>
      <c r="W194" s="115">
        <v>9703</v>
      </c>
      <c r="X194" s="115">
        <v>80</v>
      </c>
      <c r="Y194" s="115"/>
      <c r="Z194" s="115" t="s">
        <v>48</v>
      </c>
      <c r="AA194" s="115"/>
      <c r="AB194" s="115"/>
      <c r="AC194" s="115"/>
      <c r="AD194" s="115"/>
      <c r="AE194" s="115"/>
      <c r="AF194" s="291"/>
      <c r="AG194" s="246">
        <v>43982</v>
      </c>
      <c r="AH194" s="133"/>
      <c r="AI194" s="132">
        <f t="shared" si="59"/>
        <v>1323805</v>
      </c>
      <c r="AJ194" s="132">
        <f t="shared" si="60"/>
        <v>1323805</v>
      </c>
      <c r="AK194" s="132">
        <f t="shared" si="61"/>
        <v>0</v>
      </c>
      <c r="AL194" s="176"/>
      <c r="AM194" s="133"/>
      <c r="AN194" s="246">
        <v>44841</v>
      </c>
      <c r="AO194" s="259"/>
    </row>
    <row r="195" s="187" customFormat="1" customHeight="1" spans="1:41">
      <c r="A195" s="115" t="s">
        <v>737</v>
      </c>
      <c r="B195" s="115" t="s">
        <v>738</v>
      </c>
      <c r="C195" s="193" t="s">
        <v>739</v>
      </c>
      <c r="D195" s="193" t="str">
        <f t="shared" ref="D195:D258" si="62">B195&amp;C195</f>
        <v>洪伊皖410102199605280048</v>
      </c>
      <c r="E195" s="155" t="s">
        <v>740</v>
      </c>
      <c r="F195" s="115"/>
      <c r="G195" s="115">
        <v>6</v>
      </c>
      <c r="H195" s="115">
        <v>2</v>
      </c>
      <c r="I195" s="115">
        <v>23</v>
      </c>
      <c r="J195" s="115">
        <v>2301</v>
      </c>
      <c r="K195" s="115">
        <v>109.13</v>
      </c>
      <c r="L195" s="115">
        <v>19960</v>
      </c>
      <c r="M195" s="115"/>
      <c r="N195" s="115"/>
      <c r="O195" s="431">
        <v>14500</v>
      </c>
      <c r="P195" s="115">
        <f>ROUND(O195*K195,0)</f>
        <v>1582385</v>
      </c>
      <c r="Q195" s="115" t="s">
        <v>66</v>
      </c>
      <c r="R195" s="115">
        <v>1400000</v>
      </c>
      <c r="S195" s="115"/>
      <c r="T195" s="115">
        <v>182385</v>
      </c>
      <c r="U195" s="115"/>
      <c r="V195" s="115"/>
      <c r="W195" s="115"/>
      <c r="X195" s="115"/>
      <c r="Y195" s="115"/>
      <c r="Z195" s="115"/>
      <c r="AA195" s="115"/>
      <c r="AB195" s="115"/>
      <c r="AC195" s="115"/>
      <c r="AD195" s="115"/>
      <c r="AE195" s="115"/>
      <c r="AF195" s="291"/>
      <c r="AG195" s="246" t="s">
        <v>741</v>
      </c>
      <c r="AH195" s="133"/>
      <c r="AI195" s="132">
        <f t="shared" si="59"/>
        <v>1400000</v>
      </c>
      <c r="AJ195" s="132">
        <f t="shared" si="60"/>
        <v>1400000</v>
      </c>
      <c r="AK195" s="132">
        <f t="shared" si="61"/>
        <v>0</v>
      </c>
      <c r="AL195" s="176"/>
      <c r="AM195" s="133"/>
      <c r="AN195" s="246">
        <v>44841</v>
      </c>
      <c r="AO195" s="259"/>
    </row>
    <row r="196" s="187" customFormat="1" customHeight="1" spans="1:41">
      <c r="A196" s="115" t="s">
        <v>742</v>
      </c>
      <c r="B196" s="115" t="s">
        <v>743</v>
      </c>
      <c r="C196" s="193" t="s">
        <v>744</v>
      </c>
      <c r="D196" s="193" t="str">
        <f t="shared" si="62"/>
        <v>徐建波130535197205281116</v>
      </c>
      <c r="E196" s="155">
        <v>13653839715</v>
      </c>
      <c r="F196" s="115"/>
      <c r="G196" s="115">
        <v>3</v>
      </c>
      <c r="H196" s="115"/>
      <c r="I196" s="115">
        <v>9</v>
      </c>
      <c r="J196" s="115">
        <v>928</v>
      </c>
      <c r="K196" s="115">
        <v>64.13</v>
      </c>
      <c r="L196" s="115">
        <v>20000</v>
      </c>
      <c r="M196" s="115"/>
      <c r="N196" s="115"/>
      <c r="O196" s="431">
        <v>9149.85</v>
      </c>
      <c r="P196" s="115">
        <v>586780</v>
      </c>
      <c r="Q196" s="115" t="s">
        <v>66</v>
      </c>
      <c r="R196" s="115">
        <v>296780</v>
      </c>
      <c r="S196" s="115"/>
      <c r="T196" s="115">
        <v>290000</v>
      </c>
      <c r="U196" s="115"/>
      <c r="V196" s="115"/>
      <c r="W196" s="115">
        <v>4168</v>
      </c>
      <c r="X196" s="115">
        <v>550</v>
      </c>
      <c r="Y196" s="115" t="s">
        <v>48</v>
      </c>
      <c r="Z196" s="115"/>
      <c r="AA196" s="115"/>
      <c r="AB196" s="115"/>
      <c r="AC196" s="115"/>
      <c r="AD196" s="115"/>
      <c r="AE196" s="115"/>
      <c r="AF196" s="291"/>
      <c r="AG196" s="246">
        <v>43096</v>
      </c>
      <c r="AH196" s="133">
        <f>AJ196</f>
        <v>301498</v>
      </c>
      <c r="AI196" s="132">
        <f t="shared" si="59"/>
        <v>301498</v>
      </c>
      <c r="AJ196" s="132">
        <f t="shared" si="60"/>
        <v>301498</v>
      </c>
      <c r="AK196" s="132">
        <f t="shared" si="61"/>
        <v>0</v>
      </c>
      <c r="AL196" s="176"/>
      <c r="AM196" s="133"/>
      <c r="AN196" s="246">
        <v>44841</v>
      </c>
      <c r="AO196" s="259"/>
    </row>
    <row r="197" s="187" customFormat="1" customHeight="1" spans="1:41">
      <c r="A197" s="115" t="s">
        <v>745</v>
      </c>
      <c r="B197" s="115" t="s">
        <v>743</v>
      </c>
      <c r="C197" s="546" t="s">
        <v>744</v>
      </c>
      <c r="D197" s="193" t="str">
        <f t="shared" si="62"/>
        <v>徐建波130535197205281116</v>
      </c>
      <c r="E197" s="155">
        <v>13653839715</v>
      </c>
      <c r="F197" s="115"/>
      <c r="G197" s="115">
        <v>3</v>
      </c>
      <c r="H197" s="115"/>
      <c r="I197" s="115">
        <v>9</v>
      </c>
      <c r="J197" s="115">
        <v>912</v>
      </c>
      <c r="K197" s="115">
        <v>65.94</v>
      </c>
      <c r="L197" s="115">
        <v>20000</v>
      </c>
      <c r="M197" s="115"/>
      <c r="N197" s="115"/>
      <c r="O197" s="431">
        <v>8812.3</v>
      </c>
      <c r="P197" s="115">
        <v>581083</v>
      </c>
      <c r="Q197" s="115" t="s">
        <v>66</v>
      </c>
      <c r="R197" s="115">
        <v>291083</v>
      </c>
      <c r="S197" s="115"/>
      <c r="T197" s="115">
        <v>290000</v>
      </c>
      <c r="U197" s="115"/>
      <c r="V197" s="115"/>
      <c r="W197" s="115">
        <v>4286</v>
      </c>
      <c r="X197" s="115">
        <v>550</v>
      </c>
      <c r="Y197" s="115" t="s">
        <v>48</v>
      </c>
      <c r="Z197" s="115"/>
      <c r="AA197" s="115"/>
      <c r="AB197" s="115"/>
      <c r="AC197" s="115"/>
      <c r="AD197" s="115"/>
      <c r="AE197" s="115"/>
      <c r="AF197" s="291"/>
      <c r="AG197" s="246">
        <v>43096</v>
      </c>
      <c r="AH197" s="133">
        <f>AJ197</f>
        <v>295919</v>
      </c>
      <c r="AI197" s="132">
        <f t="shared" si="59"/>
        <v>295919</v>
      </c>
      <c r="AJ197" s="132">
        <f t="shared" si="60"/>
        <v>295919</v>
      </c>
      <c r="AK197" s="132">
        <f t="shared" si="61"/>
        <v>0</v>
      </c>
      <c r="AL197" s="176"/>
      <c r="AM197" s="133"/>
      <c r="AN197" s="246">
        <v>44841</v>
      </c>
      <c r="AO197" s="259"/>
    </row>
    <row r="198" s="187" customFormat="1" customHeight="1" spans="1:41">
      <c r="A198" s="115" t="s">
        <v>746</v>
      </c>
      <c r="B198" s="115" t="s">
        <v>747</v>
      </c>
      <c r="C198" s="193" t="s">
        <v>748</v>
      </c>
      <c r="D198" s="193" t="str">
        <f t="shared" si="62"/>
        <v>刘华清410326198807290912</v>
      </c>
      <c r="E198" s="155">
        <v>18768867368</v>
      </c>
      <c r="F198" s="115"/>
      <c r="G198" s="115">
        <v>9</v>
      </c>
      <c r="H198" s="115">
        <v>3</v>
      </c>
      <c r="I198" s="115">
        <v>30</v>
      </c>
      <c r="J198" s="115">
        <v>3001</v>
      </c>
      <c r="K198" s="115">
        <v>93.4</v>
      </c>
      <c r="L198" s="115">
        <v>8870</v>
      </c>
      <c r="M198" s="115"/>
      <c r="N198" s="115"/>
      <c r="O198" s="431">
        <v>8769.61</v>
      </c>
      <c r="P198" s="115">
        <v>819082</v>
      </c>
      <c r="Q198" s="115" t="s">
        <v>46</v>
      </c>
      <c r="R198" s="115">
        <v>309082</v>
      </c>
      <c r="S198" s="115"/>
      <c r="T198" s="115">
        <v>510000</v>
      </c>
      <c r="U198" s="115"/>
      <c r="V198" s="115"/>
      <c r="W198" s="115">
        <v>6071</v>
      </c>
      <c r="X198" s="115">
        <v>80</v>
      </c>
      <c r="Y198" s="115"/>
      <c r="Z198" s="115" t="s">
        <v>48</v>
      </c>
      <c r="AA198" s="115"/>
      <c r="AB198" s="115">
        <v>1160</v>
      </c>
      <c r="AC198" s="115"/>
      <c r="AD198" s="115"/>
      <c r="AE198" s="115"/>
      <c r="AF198" s="291"/>
      <c r="AG198" s="246">
        <v>42296</v>
      </c>
      <c r="AH198" s="133">
        <v>300000</v>
      </c>
      <c r="AI198" s="132">
        <f t="shared" si="59"/>
        <v>316393</v>
      </c>
      <c r="AJ198" s="132">
        <f t="shared" si="60"/>
        <v>315233</v>
      </c>
      <c r="AK198" s="132">
        <f t="shared" si="61"/>
        <v>1160</v>
      </c>
      <c r="AL198" s="176" t="s">
        <v>749</v>
      </c>
      <c r="AM198" s="133"/>
      <c r="AN198" s="246">
        <v>44841</v>
      </c>
      <c r="AO198" s="259"/>
    </row>
    <row r="199" s="187" customFormat="1" customHeight="1" spans="1:41">
      <c r="A199" s="115" t="s">
        <v>750</v>
      </c>
      <c r="B199" s="115" t="s">
        <v>751</v>
      </c>
      <c r="C199" s="193" t="s">
        <v>752</v>
      </c>
      <c r="D199" s="193" t="str">
        <f t="shared" si="62"/>
        <v>李甜410901199012254028</v>
      </c>
      <c r="E199" s="155">
        <v>15138954823</v>
      </c>
      <c r="F199" s="115"/>
      <c r="G199" s="115">
        <v>6</v>
      </c>
      <c r="H199" s="115">
        <v>1</v>
      </c>
      <c r="I199" s="115">
        <v>17</v>
      </c>
      <c r="J199" s="115">
        <v>1707</v>
      </c>
      <c r="K199" s="115">
        <v>86.33</v>
      </c>
      <c r="L199" s="115">
        <v>17900</v>
      </c>
      <c r="M199" s="115"/>
      <c r="N199" s="115"/>
      <c r="O199" s="431">
        <v>14000</v>
      </c>
      <c r="P199" s="115">
        <f>ROUND(O199*K199,0)</f>
        <v>1208620</v>
      </c>
      <c r="Q199" s="115" t="s">
        <v>46</v>
      </c>
      <c r="R199" s="115">
        <v>908620</v>
      </c>
      <c r="S199" s="115"/>
      <c r="T199" s="115" t="s">
        <v>47</v>
      </c>
      <c r="U199" s="115"/>
      <c r="V199" s="115">
        <v>300000</v>
      </c>
      <c r="W199" s="115">
        <v>5611</v>
      </c>
      <c r="X199" s="115">
        <v>80</v>
      </c>
      <c r="Y199" s="115" t="s">
        <v>48</v>
      </c>
      <c r="Z199" s="115"/>
      <c r="AA199" s="115"/>
      <c r="AB199" s="115"/>
      <c r="AC199" s="115"/>
      <c r="AD199" s="115"/>
      <c r="AE199" s="115"/>
      <c r="AF199" s="291"/>
      <c r="AG199" s="246">
        <v>43304</v>
      </c>
      <c r="AH199" s="133">
        <f>W199+X199</f>
        <v>5691</v>
      </c>
      <c r="AI199" s="132">
        <f t="shared" ref="AI199:AI219" si="63">R199+V199+W199+X199+AA199+AB199+AC199+AD199</f>
        <v>1214311</v>
      </c>
      <c r="AJ199" s="132">
        <f t="shared" ref="AJ199:AJ219" si="64">R199+W199+V199+X199+AA199</f>
        <v>1214311</v>
      </c>
      <c r="AK199" s="132">
        <f t="shared" ref="AK199:AK218" si="65">AI199-AJ199</f>
        <v>0</v>
      </c>
      <c r="AL199" s="176"/>
      <c r="AM199" s="133"/>
      <c r="AN199" s="246">
        <v>44841</v>
      </c>
      <c r="AO199" s="259"/>
    </row>
    <row r="200" s="187" customFormat="1" customHeight="1" spans="1:41">
      <c r="A200" s="115" t="s">
        <v>753</v>
      </c>
      <c r="B200" s="115" t="s">
        <v>754</v>
      </c>
      <c r="C200" s="193" t="s">
        <v>755</v>
      </c>
      <c r="D200" s="193" t="str">
        <f t="shared" si="62"/>
        <v>刘孝刚413026196811146000</v>
      </c>
      <c r="E200" s="155">
        <v>13607610265</v>
      </c>
      <c r="F200" s="115"/>
      <c r="G200" s="115">
        <v>11</v>
      </c>
      <c r="H200" s="115">
        <v>3</v>
      </c>
      <c r="I200" s="115">
        <v>6</v>
      </c>
      <c r="J200" s="115">
        <v>603</v>
      </c>
      <c r="K200" s="115">
        <v>151.44</v>
      </c>
      <c r="L200" s="115">
        <v>9426</v>
      </c>
      <c r="M200" s="115"/>
      <c r="N200" s="115"/>
      <c r="O200" s="431">
        <v>9300</v>
      </c>
      <c r="P200" s="115">
        <f>ROUND(K200*O200,0)</f>
        <v>1408392</v>
      </c>
      <c r="Q200" s="115" t="s">
        <v>56</v>
      </c>
      <c r="R200" s="115">
        <v>1413814</v>
      </c>
      <c r="S200" s="115">
        <v>-5422</v>
      </c>
      <c r="T200" s="115" t="s">
        <v>47</v>
      </c>
      <c r="U200" s="115"/>
      <c r="V200" s="115"/>
      <c r="W200" s="115">
        <v>9843</v>
      </c>
      <c r="X200" s="115">
        <v>80</v>
      </c>
      <c r="Y200" s="115" t="s">
        <v>48</v>
      </c>
      <c r="Z200" s="115"/>
      <c r="AA200" s="115"/>
      <c r="AB200" s="115"/>
      <c r="AC200" s="115"/>
      <c r="AD200" s="115"/>
      <c r="AE200" s="115"/>
      <c r="AF200" s="291"/>
      <c r="AG200" s="246">
        <v>43982</v>
      </c>
      <c r="AH200" s="133"/>
      <c r="AI200" s="132">
        <f t="shared" si="63"/>
        <v>1423737</v>
      </c>
      <c r="AJ200" s="132">
        <f t="shared" si="64"/>
        <v>1423737</v>
      </c>
      <c r="AK200" s="132">
        <f t="shared" si="65"/>
        <v>0</v>
      </c>
      <c r="AL200" s="176"/>
      <c r="AM200" s="133"/>
      <c r="AN200" s="246">
        <v>44841</v>
      </c>
      <c r="AO200" s="259"/>
    </row>
    <row r="201" s="187" customFormat="1" customHeight="1" spans="1:41">
      <c r="A201" s="115" t="s">
        <v>756</v>
      </c>
      <c r="B201" s="115" t="s">
        <v>757</v>
      </c>
      <c r="C201" s="193" t="s">
        <v>758</v>
      </c>
      <c r="D201" s="193" t="str">
        <f t="shared" si="62"/>
        <v>王晓艺410203197701181544</v>
      </c>
      <c r="E201" s="155" t="s">
        <v>759</v>
      </c>
      <c r="F201" s="115"/>
      <c r="G201" s="115">
        <v>6</v>
      </c>
      <c r="H201" s="115">
        <v>1</v>
      </c>
      <c r="I201" s="115">
        <v>26</v>
      </c>
      <c r="J201" s="115">
        <v>2608</v>
      </c>
      <c r="K201" s="115">
        <v>109.13</v>
      </c>
      <c r="L201" s="115">
        <v>17900</v>
      </c>
      <c r="M201" s="115">
        <f>L201-10</f>
        <v>17890</v>
      </c>
      <c r="N201" s="115">
        <f>M201*K201</f>
        <v>1952335.7</v>
      </c>
      <c r="O201" s="431"/>
      <c r="P201" s="115">
        <v>2073470</v>
      </c>
      <c r="Q201" s="115" t="s">
        <v>56</v>
      </c>
      <c r="R201" s="115">
        <v>2073470</v>
      </c>
      <c r="S201" s="115"/>
      <c r="T201" s="115"/>
      <c r="U201" s="115"/>
      <c r="V201" s="115"/>
      <c r="W201" s="115"/>
      <c r="X201" s="115"/>
      <c r="Y201" s="115"/>
      <c r="Z201" s="115"/>
      <c r="AA201" s="115"/>
      <c r="AB201" s="115"/>
      <c r="AC201" s="115"/>
      <c r="AD201" s="115"/>
      <c r="AE201" s="115"/>
      <c r="AF201" s="291"/>
      <c r="AG201" s="246">
        <v>44175</v>
      </c>
      <c r="AH201" s="133">
        <f>AJ201</f>
        <v>2073470</v>
      </c>
      <c r="AI201" s="132">
        <f t="shared" si="63"/>
        <v>2073470</v>
      </c>
      <c r="AJ201" s="132">
        <f t="shared" si="64"/>
        <v>2073470</v>
      </c>
      <c r="AK201" s="132">
        <f t="shared" si="65"/>
        <v>0</v>
      </c>
      <c r="AL201" s="176"/>
      <c r="AM201" s="133"/>
      <c r="AN201" s="246">
        <v>44841</v>
      </c>
      <c r="AO201" s="259"/>
    </row>
    <row r="202" s="187" customFormat="1" customHeight="1" spans="1:41">
      <c r="A202" s="115" t="s">
        <v>760</v>
      </c>
      <c r="B202" s="115" t="s">
        <v>761</v>
      </c>
      <c r="C202" s="546" t="s">
        <v>762</v>
      </c>
      <c r="D202" s="193" t="str">
        <f t="shared" si="62"/>
        <v>吴晓华412725196908017840</v>
      </c>
      <c r="E202" s="155" t="s">
        <v>763</v>
      </c>
      <c r="F202" s="115"/>
      <c r="G202" s="115">
        <v>10</v>
      </c>
      <c r="H202" s="115">
        <v>2</v>
      </c>
      <c r="I202" s="115">
        <v>29</v>
      </c>
      <c r="J202" s="115">
        <v>2905</v>
      </c>
      <c r="K202" s="115">
        <v>93.84</v>
      </c>
      <c r="L202" s="115">
        <v>11100</v>
      </c>
      <c r="M202" s="115"/>
      <c r="N202" s="115"/>
      <c r="O202" s="431">
        <v>11000</v>
      </c>
      <c r="P202" s="115">
        <f t="shared" ref="P202:P205" si="66">ROUND(O202*K202,0)</f>
        <v>1032240</v>
      </c>
      <c r="Q202" s="115" t="s">
        <v>66</v>
      </c>
      <c r="R202" s="115">
        <v>542850</v>
      </c>
      <c r="S202" s="115"/>
      <c r="T202" s="115">
        <v>489390</v>
      </c>
      <c r="U202" s="115"/>
      <c r="V202" s="115"/>
      <c r="W202" s="115"/>
      <c r="X202" s="115"/>
      <c r="Y202" s="115"/>
      <c r="Z202" s="115"/>
      <c r="AA202" s="115"/>
      <c r="AB202" s="115"/>
      <c r="AC202" s="115"/>
      <c r="AD202" s="115"/>
      <c r="AE202" s="115"/>
      <c r="AF202" s="291"/>
      <c r="AG202" s="246">
        <v>42452</v>
      </c>
      <c r="AH202" s="133">
        <f>AJ202</f>
        <v>542850</v>
      </c>
      <c r="AI202" s="132">
        <f t="shared" si="63"/>
        <v>542850</v>
      </c>
      <c r="AJ202" s="132">
        <f t="shared" si="64"/>
        <v>542850</v>
      </c>
      <c r="AK202" s="132">
        <f t="shared" si="65"/>
        <v>0</v>
      </c>
      <c r="AL202" s="176"/>
      <c r="AM202" s="133"/>
      <c r="AN202" s="246">
        <v>44841</v>
      </c>
      <c r="AO202" s="259"/>
    </row>
    <row r="203" s="187" customFormat="1" customHeight="1" spans="1:41">
      <c r="A203" s="115" t="s">
        <v>764</v>
      </c>
      <c r="B203" s="115" t="s">
        <v>765</v>
      </c>
      <c r="C203" s="193" t="s">
        <v>766</v>
      </c>
      <c r="D203" s="193" t="str">
        <f t="shared" si="62"/>
        <v>田晓礼412725198209160321</v>
      </c>
      <c r="E203" s="155">
        <v>15617830016</v>
      </c>
      <c r="F203" s="115"/>
      <c r="G203" s="115">
        <v>11</v>
      </c>
      <c r="H203" s="115">
        <v>3</v>
      </c>
      <c r="I203" s="115">
        <v>8</v>
      </c>
      <c r="J203" s="115">
        <v>803</v>
      </c>
      <c r="K203" s="115">
        <v>151.44</v>
      </c>
      <c r="L203" s="115">
        <v>17900</v>
      </c>
      <c r="M203" s="115"/>
      <c r="N203" s="115"/>
      <c r="O203" s="431">
        <v>12000</v>
      </c>
      <c r="P203" s="115">
        <v>1817280</v>
      </c>
      <c r="Q203" s="115" t="s">
        <v>66</v>
      </c>
      <c r="R203" s="115">
        <v>1417280</v>
      </c>
      <c r="S203" s="115"/>
      <c r="T203" s="115">
        <f>P203-R203</f>
        <v>400000</v>
      </c>
      <c r="U203" s="115"/>
      <c r="V203" s="115"/>
      <c r="W203" s="115">
        <v>9843</v>
      </c>
      <c r="X203" s="115">
        <v>80</v>
      </c>
      <c r="Y203" s="115"/>
      <c r="Z203" s="115"/>
      <c r="AA203" s="115"/>
      <c r="AB203" s="115"/>
      <c r="AC203" s="115"/>
      <c r="AD203" s="115"/>
      <c r="AE203" s="115"/>
      <c r="AF203" s="291"/>
      <c r="AG203" s="246">
        <v>42457</v>
      </c>
      <c r="AH203" s="133"/>
      <c r="AI203" s="132">
        <f t="shared" si="63"/>
        <v>1427203</v>
      </c>
      <c r="AJ203" s="132">
        <f t="shared" si="64"/>
        <v>1427203</v>
      </c>
      <c r="AK203" s="132">
        <f t="shared" si="65"/>
        <v>0</v>
      </c>
      <c r="AL203" s="176"/>
      <c r="AM203" s="133"/>
      <c r="AN203" s="246">
        <v>44841</v>
      </c>
      <c r="AO203" s="259"/>
    </row>
    <row r="204" s="187" customFormat="1" customHeight="1" spans="1:41">
      <c r="A204" s="115" t="s">
        <v>767</v>
      </c>
      <c r="B204" s="115" t="s">
        <v>768</v>
      </c>
      <c r="C204" s="193" t="s">
        <v>769</v>
      </c>
      <c r="D204" s="193" t="str">
        <f t="shared" si="62"/>
        <v>张瑾410503198910025004</v>
      </c>
      <c r="E204" s="155" t="s">
        <v>770</v>
      </c>
      <c r="F204" s="115"/>
      <c r="G204" s="115">
        <v>6</v>
      </c>
      <c r="H204" s="115">
        <v>1</v>
      </c>
      <c r="I204" s="115">
        <v>30</v>
      </c>
      <c r="J204" s="115">
        <v>3008</v>
      </c>
      <c r="K204" s="115">
        <v>109.13</v>
      </c>
      <c r="L204" s="115">
        <v>19760</v>
      </c>
      <c r="M204" s="115"/>
      <c r="N204" s="115"/>
      <c r="O204" s="431">
        <v>12000</v>
      </c>
      <c r="P204" s="115">
        <f t="shared" si="66"/>
        <v>1309560</v>
      </c>
      <c r="Q204" s="115"/>
      <c r="R204" s="115">
        <v>500000</v>
      </c>
      <c r="S204" s="115"/>
      <c r="T204" s="115">
        <f>P204-R204</f>
        <v>809560</v>
      </c>
      <c r="U204" s="115"/>
      <c r="V204" s="115"/>
      <c r="W204" s="115"/>
      <c r="X204" s="115"/>
      <c r="Y204" s="115"/>
      <c r="Z204" s="115"/>
      <c r="AA204" s="115"/>
      <c r="AB204" s="115"/>
      <c r="AC204" s="115"/>
      <c r="AD204" s="115"/>
      <c r="AE204" s="115"/>
      <c r="AF204" s="291"/>
      <c r="AG204" s="246">
        <v>43123</v>
      </c>
      <c r="AH204" s="133">
        <v>500000</v>
      </c>
      <c r="AI204" s="132">
        <f t="shared" si="63"/>
        <v>500000</v>
      </c>
      <c r="AJ204" s="132">
        <f t="shared" si="64"/>
        <v>500000</v>
      </c>
      <c r="AK204" s="132">
        <f t="shared" si="65"/>
        <v>0</v>
      </c>
      <c r="AL204" s="176"/>
      <c r="AM204" s="133"/>
      <c r="AN204" s="246">
        <v>44841</v>
      </c>
      <c r="AO204" s="259"/>
    </row>
    <row r="205" s="187" customFormat="1" customHeight="1" spans="1:41">
      <c r="A205" s="115" t="s">
        <v>771</v>
      </c>
      <c r="B205" s="115" t="s">
        <v>772</v>
      </c>
      <c r="C205" s="193" t="s">
        <v>773</v>
      </c>
      <c r="D205" s="193" t="str">
        <f t="shared" si="62"/>
        <v>申艳红410123197712230065</v>
      </c>
      <c r="E205" s="155">
        <v>13503452237</v>
      </c>
      <c r="F205" s="115"/>
      <c r="G205" s="115">
        <v>3</v>
      </c>
      <c r="H205" s="115"/>
      <c r="I205" s="115">
        <v>13</v>
      </c>
      <c r="J205" s="115">
        <v>1315</v>
      </c>
      <c r="K205" s="115">
        <v>69.88</v>
      </c>
      <c r="L205" s="115">
        <v>20000</v>
      </c>
      <c r="M205" s="115"/>
      <c r="N205" s="115"/>
      <c r="O205" s="431">
        <v>8699.76</v>
      </c>
      <c r="P205" s="115">
        <f t="shared" si="66"/>
        <v>607939</v>
      </c>
      <c r="Q205" s="115" t="s">
        <v>56</v>
      </c>
      <c r="R205" s="115">
        <v>607939</v>
      </c>
      <c r="S205" s="115" t="s">
        <v>47</v>
      </c>
      <c r="T205" s="115"/>
      <c r="U205" s="115"/>
      <c r="V205" s="115"/>
      <c r="W205" s="115">
        <v>4542</v>
      </c>
      <c r="X205" s="115">
        <v>550</v>
      </c>
      <c r="Y205" s="115"/>
      <c r="Z205" s="115" t="s">
        <v>48</v>
      </c>
      <c r="AA205" s="115"/>
      <c r="AB205" s="115"/>
      <c r="AC205" s="115"/>
      <c r="AD205" s="115"/>
      <c r="AE205" s="115"/>
      <c r="AF205" s="291"/>
      <c r="AG205" s="246">
        <v>43292</v>
      </c>
      <c r="AH205" s="133">
        <f>W205+X205</f>
        <v>5092</v>
      </c>
      <c r="AI205" s="132">
        <f t="shared" si="63"/>
        <v>613031</v>
      </c>
      <c r="AJ205" s="132">
        <f t="shared" si="64"/>
        <v>613031</v>
      </c>
      <c r="AK205" s="132">
        <f t="shared" si="65"/>
        <v>0</v>
      </c>
      <c r="AL205" s="176" t="s">
        <v>774</v>
      </c>
      <c r="AM205" s="133"/>
      <c r="AN205" s="246">
        <v>44841</v>
      </c>
      <c r="AO205" s="259"/>
    </row>
    <row r="206" s="187" customFormat="1" customHeight="1" spans="1:41">
      <c r="A206" s="115" t="s">
        <v>775</v>
      </c>
      <c r="B206" s="115" t="s">
        <v>776</v>
      </c>
      <c r="C206" s="546" t="s">
        <v>777</v>
      </c>
      <c r="D206" s="193" t="str">
        <f t="shared" si="62"/>
        <v>张振江410504196811252014</v>
      </c>
      <c r="E206" s="155">
        <v>13103725585</v>
      </c>
      <c r="F206" s="115"/>
      <c r="G206" s="115">
        <v>11</v>
      </c>
      <c r="H206" s="115">
        <v>3</v>
      </c>
      <c r="I206" s="115">
        <v>31</v>
      </c>
      <c r="J206" s="115">
        <v>3103</v>
      </c>
      <c r="K206" s="115">
        <v>151.44</v>
      </c>
      <c r="L206" s="115"/>
      <c r="M206" s="115"/>
      <c r="N206" s="115"/>
      <c r="O206" s="431"/>
      <c r="P206" s="115">
        <v>2877360</v>
      </c>
      <c r="Q206" s="115"/>
      <c r="R206" s="115">
        <v>2877360</v>
      </c>
      <c r="S206" s="115"/>
      <c r="T206" s="115"/>
      <c r="U206" s="115"/>
      <c r="V206" s="115"/>
      <c r="W206" s="115"/>
      <c r="X206" s="115"/>
      <c r="Y206" s="115"/>
      <c r="Z206" s="115"/>
      <c r="AA206" s="115"/>
      <c r="AB206" s="115"/>
      <c r="AC206" s="115"/>
      <c r="AD206" s="115"/>
      <c r="AE206" s="115"/>
      <c r="AF206" s="291"/>
      <c r="AG206" s="246">
        <v>44175</v>
      </c>
      <c r="AH206" s="133"/>
      <c r="AI206" s="132">
        <f t="shared" si="63"/>
        <v>2877360</v>
      </c>
      <c r="AJ206" s="132">
        <f t="shared" si="64"/>
        <v>2877360</v>
      </c>
      <c r="AK206" s="132">
        <f t="shared" si="65"/>
        <v>0</v>
      </c>
      <c r="AL206" s="176" t="s">
        <v>778</v>
      </c>
      <c r="AM206" s="133"/>
      <c r="AN206" s="246">
        <v>44841</v>
      </c>
      <c r="AO206" s="259"/>
    </row>
    <row r="207" s="187" customFormat="1" customHeight="1" spans="1:41">
      <c r="A207" s="115" t="s">
        <v>779</v>
      </c>
      <c r="B207" s="115" t="s">
        <v>780</v>
      </c>
      <c r="C207" s="193" t="s">
        <v>781</v>
      </c>
      <c r="D207" s="193" t="str">
        <f t="shared" si="62"/>
        <v>张丹41010319780525372X</v>
      </c>
      <c r="E207" s="155">
        <v>15837191888</v>
      </c>
      <c r="F207" s="115"/>
      <c r="G207" s="115">
        <v>11</v>
      </c>
      <c r="H207" s="115">
        <v>3</v>
      </c>
      <c r="I207" s="115">
        <v>10</v>
      </c>
      <c r="J207" s="115">
        <v>1001</v>
      </c>
      <c r="K207" s="115">
        <v>149.28</v>
      </c>
      <c r="L207" s="115">
        <v>9100</v>
      </c>
      <c r="M207" s="115"/>
      <c r="N207" s="115"/>
      <c r="O207" s="431">
        <v>9000</v>
      </c>
      <c r="P207" s="115">
        <v>1343520</v>
      </c>
      <c r="Q207" s="115" t="s">
        <v>46</v>
      </c>
      <c r="R207" s="115">
        <v>743520</v>
      </c>
      <c r="S207" s="115"/>
      <c r="T207" s="115">
        <v>600000</v>
      </c>
      <c r="U207" s="115"/>
      <c r="V207" s="115"/>
      <c r="W207" s="115">
        <v>9703</v>
      </c>
      <c r="X207" s="115">
        <v>80</v>
      </c>
      <c r="Y207" s="115" t="s">
        <v>48</v>
      </c>
      <c r="Z207" s="115"/>
      <c r="AA207" s="115"/>
      <c r="AB207" s="115"/>
      <c r="AC207" s="115"/>
      <c r="AD207" s="115"/>
      <c r="AE207" s="115"/>
      <c r="AF207" s="291"/>
      <c r="AG207" s="246">
        <v>43971</v>
      </c>
      <c r="AH207" s="133"/>
      <c r="AI207" s="132">
        <f t="shared" si="63"/>
        <v>753303</v>
      </c>
      <c r="AJ207" s="132">
        <f t="shared" si="64"/>
        <v>753303</v>
      </c>
      <c r="AK207" s="132">
        <f t="shared" si="65"/>
        <v>0</v>
      </c>
      <c r="AL207" s="176"/>
      <c r="AM207" s="133"/>
      <c r="AN207" s="246">
        <v>44841</v>
      </c>
      <c r="AO207" s="259"/>
    </row>
    <row r="208" s="187" customFormat="1" customHeight="1" spans="1:41">
      <c r="A208" s="115" t="s">
        <v>782</v>
      </c>
      <c r="B208" s="115" t="s">
        <v>783</v>
      </c>
      <c r="C208" s="546" t="s">
        <v>784</v>
      </c>
      <c r="D208" s="193" t="str">
        <f t="shared" si="62"/>
        <v>蔡琳411521198709143117</v>
      </c>
      <c r="E208" s="155">
        <v>13938483683</v>
      </c>
      <c r="F208" s="115"/>
      <c r="G208" s="115">
        <v>3</v>
      </c>
      <c r="H208" s="115"/>
      <c r="I208" s="115">
        <v>12</v>
      </c>
      <c r="J208" s="115">
        <v>1211</v>
      </c>
      <c r="K208" s="115">
        <v>64.5</v>
      </c>
      <c r="L208" s="115">
        <v>20000</v>
      </c>
      <c r="M208" s="115"/>
      <c r="N208" s="115"/>
      <c r="O208" s="431">
        <v>9185.36</v>
      </c>
      <c r="P208" s="115">
        <f t="shared" ref="P208:P214" si="67">ROUND(O208*K208,0)</f>
        <v>592456</v>
      </c>
      <c r="Q208" s="115" t="s">
        <v>66</v>
      </c>
      <c r="R208" s="115">
        <v>302456</v>
      </c>
      <c r="S208" s="115"/>
      <c r="T208" s="115">
        <v>290000</v>
      </c>
      <c r="U208" s="115"/>
      <c r="V208" s="115"/>
      <c r="W208" s="115">
        <v>4192</v>
      </c>
      <c r="X208" s="115">
        <v>550</v>
      </c>
      <c r="Y208" s="115"/>
      <c r="Z208" s="115"/>
      <c r="AA208" s="115"/>
      <c r="AB208" s="115">
        <v>4579</v>
      </c>
      <c r="AC208" s="115"/>
      <c r="AD208" s="115"/>
      <c r="AE208" s="115"/>
      <c r="AF208" s="291"/>
      <c r="AG208" s="246">
        <v>43092</v>
      </c>
      <c r="AH208" s="133">
        <f>W208+X208+R208</f>
        <v>307198</v>
      </c>
      <c r="AI208" s="132">
        <f t="shared" si="63"/>
        <v>311777</v>
      </c>
      <c r="AJ208" s="132">
        <f t="shared" si="64"/>
        <v>307198</v>
      </c>
      <c r="AK208" s="132">
        <f t="shared" si="65"/>
        <v>4579</v>
      </c>
      <c r="AL208" s="176"/>
      <c r="AM208" s="133"/>
      <c r="AN208" s="246">
        <v>44841</v>
      </c>
      <c r="AO208" s="259"/>
    </row>
    <row r="209" s="187" customFormat="1" customHeight="1" spans="1:41">
      <c r="A209" s="115" t="s">
        <v>785</v>
      </c>
      <c r="B209" s="115" t="s">
        <v>786</v>
      </c>
      <c r="C209" s="193" t="s">
        <v>787</v>
      </c>
      <c r="D209" s="193" t="str">
        <f t="shared" si="62"/>
        <v>郭敬东    赵蕾412925197204050015</v>
      </c>
      <c r="E209" s="155">
        <v>18737153583</v>
      </c>
      <c r="F209" s="115"/>
      <c r="G209" s="115">
        <v>2</v>
      </c>
      <c r="H209" s="115"/>
      <c r="I209" s="115">
        <v>10</v>
      </c>
      <c r="J209" s="115">
        <v>1007</v>
      </c>
      <c r="K209" s="115">
        <v>49.74</v>
      </c>
      <c r="L209" s="115">
        <v>20000</v>
      </c>
      <c r="M209" s="115"/>
      <c r="N209" s="115"/>
      <c r="O209" s="431">
        <v>9424.99</v>
      </c>
      <c r="P209" s="115">
        <f t="shared" si="67"/>
        <v>468799</v>
      </c>
      <c r="Q209" s="115" t="s">
        <v>56</v>
      </c>
      <c r="R209" s="115">
        <v>468799</v>
      </c>
      <c r="S209" s="115"/>
      <c r="T209" s="115"/>
      <c r="U209" s="115">
        <v>0</v>
      </c>
      <c r="V209" s="115"/>
      <c r="W209" s="115">
        <v>3233</v>
      </c>
      <c r="X209" s="115">
        <v>560</v>
      </c>
      <c r="Y209" s="115" t="s">
        <v>48</v>
      </c>
      <c r="Z209" s="115"/>
      <c r="AA209" s="115"/>
      <c r="AB209" s="115"/>
      <c r="AC209" s="115"/>
      <c r="AD209" s="115"/>
      <c r="AE209" s="115"/>
      <c r="AF209" s="291"/>
      <c r="AG209" s="246">
        <v>43071</v>
      </c>
      <c r="AH209" s="133">
        <f>AJ209</f>
        <v>472592</v>
      </c>
      <c r="AI209" s="132">
        <f t="shared" si="63"/>
        <v>472592</v>
      </c>
      <c r="AJ209" s="132">
        <f t="shared" si="64"/>
        <v>472592</v>
      </c>
      <c r="AK209" s="132">
        <f t="shared" si="65"/>
        <v>0</v>
      </c>
      <c r="AL209" s="176"/>
      <c r="AM209" s="133"/>
      <c r="AN209" s="246">
        <v>44841</v>
      </c>
      <c r="AO209" s="259"/>
    </row>
    <row r="210" s="187" customFormat="1" customHeight="1" spans="1:41">
      <c r="A210" s="115" t="s">
        <v>788</v>
      </c>
      <c r="B210" s="115" t="s">
        <v>789</v>
      </c>
      <c r="C210" s="193" t="s">
        <v>790</v>
      </c>
      <c r="D210" s="193" t="str">
        <f t="shared" si="62"/>
        <v>高红岩410523197711300027</v>
      </c>
      <c r="E210" s="155">
        <v>13619839390</v>
      </c>
      <c r="F210" s="115"/>
      <c r="G210" s="115">
        <v>3</v>
      </c>
      <c r="H210" s="115"/>
      <c r="I210" s="115">
        <v>14</v>
      </c>
      <c r="J210" s="115">
        <v>1406</v>
      </c>
      <c r="K210" s="115">
        <v>61.66</v>
      </c>
      <c r="L210" s="115">
        <v>20000</v>
      </c>
      <c r="M210" s="115"/>
      <c r="N210" s="115"/>
      <c r="O210" s="431">
        <v>9182.13</v>
      </c>
      <c r="P210" s="115">
        <f t="shared" si="67"/>
        <v>566170</v>
      </c>
      <c r="Q210" s="115" t="s">
        <v>66</v>
      </c>
      <c r="R210" s="115">
        <v>286170</v>
      </c>
      <c r="S210" s="115"/>
      <c r="T210" s="115" t="s">
        <v>47</v>
      </c>
      <c r="U210" s="115"/>
      <c r="V210" s="115">
        <v>280000</v>
      </c>
      <c r="W210" s="115">
        <v>4007</v>
      </c>
      <c r="X210" s="115">
        <v>550</v>
      </c>
      <c r="Y210" s="115" t="s">
        <v>48</v>
      </c>
      <c r="Z210" s="115"/>
      <c r="AA210" s="115"/>
      <c r="AB210" s="115">
        <f>360+3000</f>
        <v>3360</v>
      </c>
      <c r="AC210" s="115"/>
      <c r="AD210" s="115"/>
      <c r="AE210" s="115"/>
      <c r="AF210" s="291"/>
      <c r="AG210" s="246">
        <v>43125</v>
      </c>
      <c r="AH210" s="133">
        <f>X210+W210+R210</f>
        <v>290727</v>
      </c>
      <c r="AI210" s="132">
        <f t="shared" si="63"/>
        <v>574087</v>
      </c>
      <c r="AJ210" s="132">
        <f t="shared" si="64"/>
        <v>570727</v>
      </c>
      <c r="AK210" s="132">
        <f t="shared" si="65"/>
        <v>3360</v>
      </c>
      <c r="AL210" s="176" t="s">
        <v>791</v>
      </c>
      <c r="AM210" s="133"/>
      <c r="AN210" s="246">
        <v>44841</v>
      </c>
      <c r="AO210" s="259"/>
    </row>
    <row r="211" s="187" customFormat="1" customHeight="1" spans="1:41">
      <c r="A211" s="115" t="s">
        <v>792</v>
      </c>
      <c r="B211" s="115" t="s">
        <v>793</v>
      </c>
      <c r="C211" s="193" t="s">
        <v>794</v>
      </c>
      <c r="D211" s="193" t="str">
        <f t="shared" si="62"/>
        <v>张杰410121197604100017</v>
      </c>
      <c r="E211" s="155">
        <v>13838073311</v>
      </c>
      <c r="F211" s="115"/>
      <c r="G211" s="115">
        <v>3</v>
      </c>
      <c r="H211" s="115"/>
      <c r="I211" s="115">
        <v>13</v>
      </c>
      <c r="J211" s="115">
        <v>1332</v>
      </c>
      <c r="K211" s="115">
        <v>55.78</v>
      </c>
      <c r="L211" s="115">
        <v>20000</v>
      </c>
      <c r="M211" s="115"/>
      <c r="N211" s="115"/>
      <c r="O211" s="431">
        <v>9692.42</v>
      </c>
      <c r="P211" s="115">
        <f t="shared" si="67"/>
        <v>540643</v>
      </c>
      <c r="Q211" s="115" t="s">
        <v>66</v>
      </c>
      <c r="R211" s="115">
        <v>340643</v>
      </c>
      <c r="S211" s="115"/>
      <c r="T211" s="115" t="s">
        <v>47</v>
      </c>
      <c r="U211" s="115"/>
      <c r="V211" s="115">
        <v>200000</v>
      </c>
      <c r="W211" s="115">
        <v>3625</v>
      </c>
      <c r="X211" s="115">
        <v>550</v>
      </c>
      <c r="Y211" s="115" t="s">
        <v>48</v>
      </c>
      <c r="Z211" s="115"/>
      <c r="AA211" s="115"/>
      <c r="AB211" s="115"/>
      <c r="AC211" s="115"/>
      <c r="AD211" s="115"/>
      <c r="AE211" s="115"/>
      <c r="AF211" s="291"/>
      <c r="AG211" s="246">
        <v>43092</v>
      </c>
      <c r="AH211" s="133">
        <f>R211+W211+X211</f>
        <v>344818</v>
      </c>
      <c r="AI211" s="132">
        <f t="shared" si="63"/>
        <v>544818</v>
      </c>
      <c r="AJ211" s="132">
        <f t="shared" si="64"/>
        <v>544818</v>
      </c>
      <c r="AK211" s="132">
        <f t="shared" si="65"/>
        <v>0</v>
      </c>
      <c r="AL211" s="176"/>
      <c r="AM211" s="133"/>
      <c r="AN211" s="246">
        <v>44841</v>
      </c>
      <c r="AO211" s="259"/>
    </row>
    <row r="212" s="187" customFormat="1" customHeight="1" spans="1:41">
      <c r="A212" s="115" t="s">
        <v>795</v>
      </c>
      <c r="B212" s="115" t="s">
        <v>796</v>
      </c>
      <c r="C212" s="193" t="s">
        <v>797</v>
      </c>
      <c r="D212" s="193" t="str">
        <f t="shared" si="62"/>
        <v>王花果410325197102046029</v>
      </c>
      <c r="E212" s="155">
        <v>13183083279</v>
      </c>
      <c r="F212" s="115"/>
      <c r="G212" s="115">
        <v>3</v>
      </c>
      <c r="H212" s="115"/>
      <c r="I212" s="115">
        <v>19</v>
      </c>
      <c r="J212" s="115">
        <v>1924</v>
      </c>
      <c r="K212" s="115">
        <v>58.01</v>
      </c>
      <c r="L212" s="115">
        <v>20000</v>
      </c>
      <c r="M212" s="115"/>
      <c r="N212" s="115"/>
      <c r="O212" s="431">
        <v>13000</v>
      </c>
      <c r="P212" s="115">
        <f t="shared" si="67"/>
        <v>754130</v>
      </c>
      <c r="Q212" s="115" t="s">
        <v>66</v>
      </c>
      <c r="R212" s="115">
        <v>379910</v>
      </c>
      <c r="S212" s="115"/>
      <c r="T212" s="115">
        <v>374000</v>
      </c>
      <c r="U212" s="115">
        <f>P212-R212</f>
        <v>374220</v>
      </c>
      <c r="V212" s="115"/>
      <c r="W212" s="115">
        <v>3770</v>
      </c>
      <c r="X212" s="115">
        <v>550</v>
      </c>
      <c r="Y212" s="115"/>
      <c r="Z212" s="115"/>
      <c r="AA212" s="115"/>
      <c r="AB212" s="115">
        <v>1257.4</v>
      </c>
      <c r="AC212" s="115"/>
      <c r="AD212" s="115"/>
      <c r="AE212" s="115"/>
      <c r="AF212" s="291"/>
      <c r="AG212" s="246">
        <v>43005</v>
      </c>
      <c r="AH212" s="133"/>
      <c r="AI212" s="132">
        <f t="shared" si="63"/>
        <v>385487.4</v>
      </c>
      <c r="AJ212" s="132">
        <f t="shared" si="64"/>
        <v>384230</v>
      </c>
      <c r="AK212" s="132">
        <f t="shared" si="65"/>
        <v>1257.40000000002</v>
      </c>
      <c r="AL212" s="176"/>
      <c r="AM212" s="133"/>
      <c r="AN212" s="246">
        <v>44841</v>
      </c>
      <c r="AO212" s="259"/>
    </row>
    <row r="213" s="187" customFormat="1" customHeight="1" spans="1:41">
      <c r="A213" s="115" t="s">
        <v>798</v>
      </c>
      <c r="B213" s="115" t="s">
        <v>799</v>
      </c>
      <c r="C213" s="193" t="s">
        <v>800</v>
      </c>
      <c r="D213" s="193" t="str">
        <f t="shared" si="62"/>
        <v>张献军410523197609225032</v>
      </c>
      <c r="E213" s="155">
        <v>18530067678</v>
      </c>
      <c r="F213" s="115"/>
      <c r="G213" s="115">
        <v>3</v>
      </c>
      <c r="H213" s="115"/>
      <c r="I213" s="115">
        <v>14</v>
      </c>
      <c r="J213" s="115">
        <v>1407</v>
      </c>
      <c r="K213" s="115">
        <v>61.94</v>
      </c>
      <c r="L213" s="115">
        <v>20000</v>
      </c>
      <c r="M213" s="115"/>
      <c r="N213" s="115"/>
      <c r="O213" s="431">
        <v>9182.53</v>
      </c>
      <c r="P213" s="115">
        <f t="shared" si="67"/>
        <v>568766</v>
      </c>
      <c r="Q213" s="115" t="s">
        <v>66</v>
      </c>
      <c r="R213" s="115">
        <v>288766</v>
      </c>
      <c r="S213" s="115"/>
      <c r="T213" s="115">
        <v>280000</v>
      </c>
      <c r="U213" s="115">
        <f>P213-R213</f>
        <v>280000</v>
      </c>
      <c r="V213" s="115"/>
      <c r="W213" s="115">
        <v>4026</v>
      </c>
      <c r="X213" s="115">
        <v>550</v>
      </c>
      <c r="Y213" s="115"/>
      <c r="Z213" s="115"/>
      <c r="AA213" s="115"/>
      <c r="AB213" s="115">
        <v>3000</v>
      </c>
      <c r="AC213" s="115"/>
      <c r="AD213" s="115"/>
      <c r="AE213" s="115"/>
      <c r="AF213" s="291"/>
      <c r="AG213" s="246">
        <v>42567</v>
      </c>
      <c r="AH213" s="133">
        <f>AJ213</f>
        <v>293342</v>
      </c>
      <c r="AI213" s="132">
        <f t="shared" si="63"/>
        <v>296342</v>
      </c>
      <c r="AJ213" s="132">
        <f t="shared" si="64"/>
        <v>293342</v>
      </c>
      <c r="AK213" s="132">
        <f t="shared" si="65"/>
        <v>3000</v>
      </c>
      <c r="AL213" s="176"/>
      <c r="AM213" s="133"/>
      <c r="AN213" s="246">
        <v>44841</v>
      </c>
      <c r="AO213" s="259"/>
    </row>
    <row r="214" s="187" customFormat="1" customHeight="1" spans="1:41">
      <c r="A214" s="115" t="s">
        <v>801</v>
      </c>
      <c r="B214" s="115" t="s">
        <v>789</v>
      </c>
      <c r="C214" s="546" t="s">
        <v>790</v>
      </c>
      <c r="D214" s="193" t="str">
        <f t="shared" si="62"/>
        <v>高红岩410523197711300027</v>
      </c>
      <c r="E214" s="155">
        <v>18837155278</v>
      </c>
      <c r="F214" s="115"/>
      <c r="G214" s="115">
        <v>10</v>
      </c>
      <c r="H214" s="115">
        <v>2</v>
      </c>
      <c r="I214" s="115">
        <v>23</v>
      </c>
      <c r="J214" s="115">
        <v>2307</v>
      </c>
      <c r="K214" s="115">
        <v>99.52</v>
      </c>
      <c r="L214" s="115">
        <v>17900</v>
      </c>
      <c r="M214" s="115"/>
      <c r="N214" s="115"/>
      <c r="O214" s="431">
        <v>16000</v>
      </c>
      <c r="P214" s="115">
        <f t="shared" si="67"/>
        <v>1592320</v>
      </c>
      <c r="Q214" s="115" t="s">
        <v>66</v>
      </c>
      <c r="R214" s="115">
        <v>962320</v>
      </c>
      <c r="S214" s="115"/>
      <c r="T214" s="115"/>
      <c r="U214" s="115" t="s">
        <v>47</v>
      </c>
      <c r="V214" s="115">
        <v>630000</v>
      </c>
      <c r="W214" s="115">
        <v>6468</v>
      </c>
      <c r="X214" s="115">
        <v>80</v>
      </c>
      <c r="Y214" s="115" t="s">
        <v>48</v>
      </c>
      <c r="Z214" s="115"/>
      <c r="AA214" s="115"/>
      <c r="AB214" s="115">
        <v>1343</v>
      </c>
      <c r="AC214" s="115"/>
      <c r="AD214" s="115"/>
      <c r="AE214" s="115"/>
      <c r="AF214" s="291"/>
      <c r="AG214" s="246">
        <v>43164</v>
      </c>
      <c r="AH214" s="133"/>
      <c r="AI214" s="132">
        <f t="shared" si="63"/>
        <v>1600211</v>
      </c>
      <c r="AJ214" s="132">
        <f t="shared" si="64"/>
        <v>1598868</v>
      </c>
      <c r="AK214" s="132">
        <f t="shared" si="65"/>
        <v>1343</v>
      </c>
      <c r="AL214" s="176"/>
      <c r="AM214" s="133"/>
      <c r="AN214" s="246">
        <v>44841</v>
      </c>
      <c r="AO214" s="259"/>
    </row>
    <row r="215" s="187" customFormat="1" customHeight="1" spans="1:41">
      <c r="A215" s="115" t="s">
        <v>802</v>
      </c>
      <c r="B215" s="115" t="s">
        <v>803</v>
      </c>
      <c r="C215" s="193" t="s">
        <v>804</v>
      </c>
      <c r="D215" s="193" t="str">
        <f t="shared" si="62"/>
        <v>梁冰410711197606051546</v>
      </c>
      <c r="E215" s="155" t="s">
        <v>805</v>
      </c>
      <c r="F215" s="115"/>
      <c r="G215" s="115">
        <v>11</v>
      </c>
      <c r="H215" s="115">
        <v>3</v>
      </c>
      <c r="I215" s="115">
        <v>13</v>
      </c>
      <c r="J215" s="115">
        <v>1301</v>
      </c>
      <c r="K215" s="115">
        <v>149.28</v>
      </c>
      <c r="L215" s="115">
        <v>9100</v>
      </c>
      <c r="M215" s="115"/>
      <c r="N215" s="115"/>
      <c r="O215" s="431">
        <v>9000</v>
      </c>
      <c r="P215" s="115">
        <f>ROUND(K215*O215,0)</f>
        <v>1343520</v>
      </c>
      <c r="Q215" s="115" t="s">
        <v>46</v>
      </c>
      <c r="R215" s="115">
        <v>813520</v>
      </c>
      <c r="S215" s="115" t="s">
        <v>47</v>
      </c>
      <c r="T215" s="115"/>
      <c r="U215" s="115"/>
      <c r="V215" s="115">
        <v>530000</v>
      </c>
      <c r="W215" s="115">
        <v>9703</v>
      </c>
      <c r="X215" s="115">
        <v>80</v>
      </c>
      <c r="Y215" s="115" t="s">
        <v>48</v>
      </c>
      <c r="Z215" s="115"/>
      <c r="AA215" s="115"/>
      <c r="AB215" s="115"/>
      <c r="AC215" s="115"/>
      <c r="AD215" s="115"/>
      <c r="AE215" s="115"/>
      <c r="AF215" s="291"/>
      <c r="AG215" s="246">
        <v>43094</v>
      </c>
      <c r="AH215" s="133">
        <f>X215+W215</f>
        <v>9783</v>
      </c>
      <c r="AI215" s="132">
        <f t="shared" si="63"/>
        <v>1353303</v>
      </c>
      <c r="AJ215" s="132">
        <f t="shared" si="64"/>
        <v>1353303</v>
      </c>
      <c r="AK215" s="132">
        <f t="shared" si="65"/>
        <v>0</v>
      </c>
      <c r="AL215" s="176"/>
      <c r="AM215" s="133"/>
      <c r="AN215" s="246">
        <v>44841</v>
      </c>
      <c r="AO215" s="259"/>
    </row>
    <row r="216" s="187" customFormat="1" customHeight="1" spans="1:41">
      <c r="A216" s="115" t="s">
        <v>806</v>
      </c>
      <c r="B216" s="115" t="s">
        <v>807</v>
      </c>
      <c r="C216" s="193" t="s">
        <v>808</v>
      </c>
      <c r="D216" s="193" t="str">
        <f t="shared" si="62"/>
        <v>王朋燕410725199801011686</v>
      </c>
      <c r="E216" s="155" t="s">
        <v>809</v>
      </c>
      <c r="F216" s="115"/>
      <c r="G216" s="115">
        <v>2</v>
      </c>
      <c r="H216" s="115"/>
      <c r="I216" s="115">
        <v>24</v>
      </c>
      <c r="J216" s="115">
        <v>2409</v>
      </c>
      <c r="K216" s="115">
        <v>47.97</v>
      </c>
      <c r="L216" s="115">
        <v>30000</v>
      </c>
      <c r="M216" s="115"/>
      <c r="N216" s="115"/>
      <c r="O216" s="431">
        <v>15217.84</v>
      </c>
      <c r="P216" s="115">
        <f>ROUND(O216*K216,0)</f>
        <v>730000</v>
      </c>
      <c r="Q216" s="115" t="s">
        <v>66</v>
      </c>
      <c r="R216" s="115">
        <v>370000</v>
      </c>
      <c r="S216" s="115"/>
      <c r="T216" s="115"/>
      <c r="U216" s="115">
        <v>0</v>
      </c>
      <c r="V216" s="115">
        <v>360000</v>
      </c>
      <c r="W216" s="115">
        <v>3118</v>
      </c>
      <c r="X216" s="115">
        <v>550</v>
      </c>
      <c r="Y216" s="115" t="s">
        <v>48</v>
      </c>
      <c r="Z216" s="115">
        <f>P216-R216-U216-V216-T216</f>
        <v>0</v>
      </c>
      <c r="AA216" s="115"/>
      <c r="AB216" s="115">
        <v>1256</v>
      </c>
      <c r="AC216" s="115"/>
      <c r="AD216" s="115">
        <v>-360000</v>
      </c>
      <c r="AE216" s="115"/>
      <c r="AF216" s="291"/>
      <c r="AG216" s="246">
        <v>43304</v>
      </c>
      <c r="AH216" s="133">
        <f>AI216-AB216</f>
        <v>373668</v>
      </c>
      <c r="AI216" s="132">
        <f t="shared" si="63"/>
        <v>374924</v>
      </c>
      <c r="AJ216" s="132">
        <f t="shared" si="64"/>
        <v>733668</v>
      </c>
      <c r="AK216" s="132">
        <f t="shared" si="65"/>
        <v>-358744</v>
      </c>
      <c r="AL216" s="176" t="s">
        <v>810</v>
      </c>
      <c r="AM216" s="133"/>
      <c r="AN216" s="246">
        <v>44841</v>
      </c>
      <c r="AO216" s="259"/>
    </row>
    <row r="217" s="187" customFormat="1" customHeight="1" spans="1:42">
      <c r="A217" s="115" t="s">
        <v>811</v>
      </c>
      <c r="B217" s="115" t="s">
        <v>812</v>
      </c>
      <c r="C217" s="546" t="s">
        <v>813</v>
      </c>
      <c r="D217" s="193" t="str">
        <f t="shared" si="62"/>
        <v>李琳412301197906014541</v>
      </c>
      <c r="E217" s="155">
        <v>17737177879</v>
      </c>
      <c r="F217" s="115"/>
      <c r="G217" s="115">
        <v>9</v>
      </c>
      <c r="H217" s="115">
        <v>3</v>
      </c>
      <c r="I217" s="115">
        <v>5</v>
      </c>
      <c r="J217" s="115">
        <v>501</v>
      </c>
      <c r="K217" s="115">
        <v>92.61</v>
      </c>
      <c r="L217" s="115">
        <v>8670</v>
      </c>
      <c r="M217" s="115"/>
      <c r="N217" s="115"/>
      <c r="O217" s="431">
        <v>8569.6</v>
      </c>
      <c r="P217" s="115">
        <f>ROUND(O217*K217,0)</f>
        <v>793631</v>
      </c>
      <c r="Q217" s="115" t="s">
        <v>46</v>
      </c>
      <c r="R217" s="115">
        <v>393631</v>
      </c>
      <c r="S217" s="115"/>
      <c r="T217" s="115" t="s">
        <v>47</v>
      </c>
      <c r="U217" s="115"/>
      <c r="V217" s="115">
        <v>400000</v>
      </c>
      <c r="W217" s="115">
        <v>6019</v>
      </c>
      <c r="X217" s="115">
        <v>80</v>
      </c>
      <c r="Y217" s="115"/>
      <c r="Z217" s="115" t="s">
        <v>48</v>
      </c>
      <c r="AA217" s="115"/>
      <c r="AB217" s="115"/>
      <c r="AC217" s="115"/>
      <c r="AD217" s="115"/>
      <c r="AE217" s="115"/>
      <c r="AF217" s="291"/>
      <c r="AG217" s="246">
        <v>43092</v>
      </c>
      <c r="AH217" s="133">
        <f>6019+80</f>
        <v>6099</v>
      </c>
      <c r="AI217" s="132">
        <f t="shared" si="63"/>
        <v>799730</v>
      </c>
      <c r="AJ217" s="132">
        <f t="shared" si="64"/>
        <v>799730</v>
      </c>
      <c r="AK217" s="132">
        <f t="shared" si="65"/>
        <v>0</v>
      </c>
      <c r="AL217" s="176"/>
      <c r="AM217" s="133"/>
      <c r="AN217" s="246">
        <v>44841</v>
      </c>
      <c r="AO217" s="100"/>
      <c r="AP217" s="100"/>
    </row>
    <row r="218" s="187" customFormat="1" customHeight="1" spans="1:41">
      <c r="A218" s="115" t="s">
        <v>814</v>
      </c>
      <c r="B218" s="115" t="s">
        <v>815</v>
      </c>
      <c r="C218" s="193" t="s">
        <v>816</v>
      </c>
      <c r="D218" s="193" t="str">
        <f t="shared" si="62"/>
        <v>刘吉华410105197406081644</v>
      </c>
      <c r="E218" s="155">
        <v>13673654181</v>
      </c>
      <c r="F218" s="115"/>
      <c r="G218" s="115">
        <v>3</v>
      </c>
      <c r="H218" s="115"/>
      <c r="I218" s="115">
        <v>14</v>
      </c>
      <c r="J218" s="115">
        <v>1408</v>
      </c>
      <c r="K218" s="115">
        <v>61.98</v>
      </c>
      <c r="L218" s="115">
        <v>20000</v>
      </c>
      <c r="M218" s="115"/>
      <c r="N218" s="115"/>
      <c r="O218" s="431">
        <v>9182.72</v>
      </c>
      <c r="P218" s="115">
        <f>ROUND(O218*K218,0)</f>
        <v>569145</v>
      </c>
      <c r="Q218" s="115" t="s">
        <v>66</v>
      </c>
      <c r="R218" s="115">
        <v>329145</v>
      </c>
      <c r="S218" s="115"/>
      <c r="T218" s="115" t="s">
        <v>47</v>
      </c>
      <c r="U218" s="115"/>
      <c r="V218" s="115">
        <v>240000</v>
      </c>
      <c r="W218" s="115">
        <v>4028</v>
      </c>
      <c r="X218" s="115">
        <v>550</v>
      </c>
      <c r="Y218" s="115" t="s">
        <v>48</v>
      </c>
      <c r="Z218" s="115"/>
      <c r="AA218" s="115"/>
      <c r="AB218" s="115"/>
      <c r="AC218" s="115"/>
      <c r="AD218" s="115"/>
      <c r="AE218" s="115"/>
      <c r="AF218" s="291"/>
      <c r="AG218" s="246">
        <v>43067</v>
      </c>
      <c r="AH218" s="133">
        <f>550+4028</f>
        <v>4578</v>
      </c>
      <c r="AI218" s="132">
        <f t="shared" si="63"/>
        <v>573723</v>
      </c>
      <c r="AJ218" s="132">
        <f t="shared" si="64"/>
        <v>573723</v>
      </c>
      <c r="AK218" s="132">
        <f t="shared" si="65"/>
        <v>0</v>
      </c>
      <c r="AL218" s="176"/>
      <c r="AM218" s="133"/>
      <c r="AN218" s="246">
        <v>44841</v>
      </c>
      <c r="AO218" s="259"/>
    </row>
    <row r="219" s="187" customFormat="1" customHeight="1" spans="1:41">
      <c r="A219" s="115" t="s">
        <v>817</v>
      </c>
      <c r="B219" s="115" t="s">
        <v>818</v>
      </c>
      <c r="C219" s="193" t="s">
        <v>819</v>
      </c>
      <c r="D219" s="193" t="str">
        <f t="shared" si="62"/>
        <v>陈晨410103198205142465</v>
      </c>
      <c r="E219" s="155" t="s">
        <v>820</v>
      </c>
      <c r="F219" s="115"/>
      <c r="G219" s="115">
        <v>3</v>
      </c>
      <c r="H219" s="115"/>
      <c r="I219" s="115">
        <v>5</v>
      </c>
      <c r="J219" s="115">
        <v>534</v>
      </c>
      <c r="K219" s="115">
        <v>55.54</v>
      </c>
      <c r="L219" s="115">
        <v>20000</v>
      </c>
      <c r="M219" s="115"/>
      <c r="N219" s="115"/>
      <c r="O219" s="431">
        <v>7691.18229260392</v>
      </c>
      <c r="P219" s="115">
        <f>ROUND(O219*K219,0)</f>
        <v>427168</v>
      </c>
      <c r="Q219" s="115" t="s">
        <v>66</v>
      </c>
      <c r="R219" s="115">
        <v>218168.2</v>
      </c>
      <c r="S219" s="115"/>
      <c r="T219" s="115">
        <v>209000</v>
      </c>
      <c r="U219" s="115"/>
      <c r="V219" s="115"/>
      <c r="W219" s="115">
        <v>3610</v>
      </c>
      <c r="X219" s="115">
        <v>550</v>
      </c>
      <c r="Y219" s="115"/>
      <c r="Z219" s="115"/>
      <c r="AA219" s="115"/>
      <c r="AB219" s="115">
        <v>1242</v>
      </c>
      <c r="AC219" s="115"/>
      <c r="AD219" s="115"/>
      <c r="AE219" s="115"/>
      <c r="AF219" s="291"/>
      <c r="AG219" s="246">
        <v>42076</v>
      </c>
      <c r="AH219" s="133">
        <v>217399.2</v>
      </c>
      <c r="AI219" s="132">
        <f t="shared" si="63"/>
        <v>223570.2</v>
      </c>
      <c r="AJ219" s="132">
        <f t="shared" si="64"/>
        <v>222328.2</v>
      </c>
      <c r="AK219" s="132">
        <f t="shared" ref="AK219:AK225" si="68">AI219-AJ219</f>
        <v>1242</v>
      </c>
      <c r="AL219" s="176"/>
      <c r="AM219" s="133"/>
      <c r="AN219" s="246">
        <v>44841</v>
      </c>
      <c r="AO219" s="259"/>
    </row>
    <row r="220" s="187" customFormat="1" customHeight="1" spans="1:41">
      <c r="A220" s="115" t="s">
        <v>821</v>
      </c>
      <c r="B220" s="115" t="s">
        <v>822</v>
      </c>
      <c r="C220" s="193" t="s">
        <v>823</v>
      </c>
      <c r="D220" s="193" t="str">
        <f t="shared" si="62"/>
        <v>刘宜静41010219930207006X</v>
      </c>
      <c r="E220" s="155">
        <v>18638546891</v>
      </c>
      <c r="F220" s="115"/>
      <c r="G220" s="115">
        <v>3</v>
      </c>
      <c r="H220" s="115"/>
      <c r="I220" s="115">
        <v>8</v>
      </c>
      <c r="J220" s="115">
        <v>835</v>
      </c>
      <c r="K220" s="115">
        <v>55.18</v>
      </c>
      <c r="L220" s="115">
        <v>20000</v>
      </c>
      <c r="M220" s="115"/>
      <c r="N220" s="115"/>
      <c r="O220" s="431">
        <v>9773.94359391745</v>
      </c>
      <c r="P220" s="115">
        <f>ROUND(O220*K220,0)</f>
        <v>539326</v>
      </c>
      <c r="Q220" s="115" t="s">
        <v>66</v>
      </c>
      <c r="R220" s="115">
        <v>107982</v>
      </c>
      <c r="S220" s="115"/>
      <c r="T220" s="115">
        <v>431344</v>
      </c>
      <c r="U220" s="115"/>
      <c r="V220" s="115"/>
      <c r="W220" s="115"/>
      <c r="X220" s="115"/>
      <c r="Y220" s="115"/>
      <c r="Z220" s="115"/>
      <c r="AA220" s="115"/>
      <c r="AB220" s="115"/>
      <c r="AC220" s="115"/>
      <c r="AD220" s="115"/>
      <c r="AE220" s="115"/>
      <c r="AF220" s="291"/>
      <c r="AG220" s="246">
        <v>42577</v>
      </c>
      <c r="AH220" s="133"/>
      <c r="AI220" s="132">
        <f t="shared" ref="AI220:AI225" si="69">R220+V220+W220+X220+AA220+AB220+AC220+AD220</f>
        <v>107982</v>
      </c>
      <c r="AJ220" s="132">
        <f t="shared" ref="AJ220:AJ225" si="70">R220+W220+V220+X220+AA220</f>
        <v>107982</v>
      </c>
      <c r="AK220" s="132">
        <f t="shared" si="68"/>
        <v>0</v>
      </c>
      <c r="AL220" s="176"/>
      <c r="AM220" s="133"/>
      <c r="AN220" s="246">
        <v>44841</v>
      </c>
      <c r="AO220" s="259"/>
    </row>
    <row r="221" s="187" customFormat="1" customHeight="1" spans="1:41">
      <c r="A221" s="115" t="s">
        <v>824</v>
      </c>
      <c r="B221" s="115" t="s">
        <v>515</v>
      </c>
      <c r="C221" s="193" t="s">
        <v>825</v>
      </c>
      <c r="D221" s="193" t="str">
        <f t="shared" si="62"/>
        <v>王鑫410105196801281027</v>
      </c>
      <c r="E221" s="155">
        <v>13673667552</v>
      </c>
      <c r="F221" s="115"/>
      <c r="G221" s="115">
        <v>11</v>
      </c>
      <c r="H221" s="115">
        <v>3</v>
      </c>
      <c r="I221" s="115">
        <v>28</v>
      </c>
      <c r="J221" s="115">
        <v>2801</v>
      </c>
      <c r="K221" s="115">
        <v>149.28</v>
      </c>
      <c r="L221" s="115">
        <v>8600</v>
      </c>
      <c r="M221" s="115"/>
      <c r="N221" s="115"/>
      <c r="O221" s="431">
        <v>8500</v>
      </c>
      <c r="P221" s="115">
        <f>ROUND(K221*O221,0)</f>
        <v>1268880</v>
      </c>
      <c r="Q221" s="115" t="s">
        <v>56</v>
      </c>
      <c r="R221" s="115">
        <v>1268880</v>
      </c>
      <c r="S221" s="115" t="s">
        <v>47</v>
      </c>
      <c r="T221" s="115"/>
      <c r="U221" s="115"/>
      <c r="V221" s="115"/>
      <c r="W221" s="115">
        <v>9703</v>
      </c>
      <c r="X221" s="115">
        <v>80</v>
      </c>
      <c r="Y221" s="115" t="s">
        <v>48</v>
      </c>
      <c r="Z221" s="115"/>
      <c r="AA221" s="115"/>
      <c r="AB221" s="115"/>
      <c r="AC221" s="115"/>
      <c r="AD221" s="115"/>
      <c r="AE221" s="115"/>
      <c r="AF221" s="291"/>
      <c r="AG221" s="246">
        <v>43981</v>
      </c>
      <c r="AH221" s="133">
        <v>1264205</v>
      </c>
      <c r="AI221" s="132">
        <f t="shared" si="69"/>
        <v>1278663</v>
      </c>
      <c r="AJ221" s="132">
        <f t="shared" si="70"/>
        <v>1278663</v>
      </c>
      <c r="AK221" s="132">
        <f t="shared" si="68"/>
        <v>0</v>
      </c>
      <c r="AL221" s="176" t="s">
        <v>826</v>
      </c>
      <c r="AM221" s="133"/>
      <c r="AN221" s="246">
        <v>44841</v>
      </c>
      <c r="AO221" s="259"/>
    </row>
    <row r="222" s="187" customFormat="1" customHeight="1" spans="1:41">
      <c r="A222" s="115" t="s">
        <v>827</v>
      </c>
      <c r="B222" s="115" t="s">
        <v>828</v>
      </c>
      <c r="C222" s="193" t="s">
        <v>829</v>
      </c>
      <c r="D222" s="193" t="str">
        <f t="shared" si="62"/>
        <v>王志鑫张慧馨410105198202081671410727198608056223</v>
      </c>
      <c r="E222" s="155">
        <v>15516999339</v>
      </c>
      <c r="F222" s="115"/>
      <c r="G222" s="115">
        <v>10</v>
      </c>
      <c r="H222" s="115">
        <v>2</v>
      </c>
      <c r="I222" s="115">
        <v>27</v>
      </c>
      <c r="J222" s="115">
        <v>2707</v>
      </c>
      <c r="K222" s="115">
        <v>99.52</v>
      </c>
      <c r="L222" s="115">
        <v>17900</v>
      </c>
      <c r="M222" s="115"/>
      <c r="N222" s="115"/>
      <c r="O222" s="431">
        <v>16000</v>
      </c>
      <c r="P222" s="115">
        <f t="shared" ref="P222:P228" si="71">ROUND(O222*K222,0)</f>
        <v>1592320</v>
      </c>
      <c r="Q222" s="115" t="s">
        <v>66</v>
      </c>
      <c r="R222" s="115">
        <v>832320</v>
      </c>
      <c r="S222" s="115"/>
      <c r="T222" s="115" t="s">
        <v>47</v>
      </c>
      <c r="U222" s="115"/>
      <c r="V222" s="115">
        <v>760000</v>
      </c>
      <c r="W222" s="115">
        <v>6468</v>
      </c>
      <c r="X222" s="115">
        <v>90</v>
      </c>
      <c r="Y222" s="115" t="s">
        <v>48</v>
      </c>
      <c r="Z222" s="115"/>
      <c r="AA222" s="115"/>
      <c r="AB222" s="115">
        <v>1356</v>
      </c>
      <c r="AC222" s="115"/>
      <c r="AD222" s="115"/>
      <c r="AE222" s="115"/>
      <c r="AF222" s="291"/>
      <c r="AG222" s="246">
        <v>43099</v>
      </c>
      <c r="AH222" s="133">
        <f>6468+90</f>
        <v>6558</v>
      </c>
      <c r="AI222" s="132">
        <f t="shared" si="69"/>
        <v>1600234</v>
      </c>
      <c r="AJ222" s="132">
        <f t="shared" si="70"/>
        <v>1598878</v>
      </c>
      <c r="AK222" s="132">
        <f t="shared" si="68"/>
        <v>1356</v>
      </c>
      <c r="AL222" s="176"/>
      <c r="AM222" s="133"/>
      <c r="AN222" s="246">
        <v>44841</v>
      </c>
      <c r="AO222" s="259"/>
    </row>
    <row r="223" s="187" customFormat="1" customHeight="1" spans="1:41">
      <c r="A223" s="115" t="s">
        <v>830</v>
      </c>
      <c r="B223" s="115" t="s">
        <v>831</v>
      </c>
      <c r="C223" s="193" t="s">
        <v>832</v>
      </c>
      <c r="D223" s="193" t="str">
        <f t="shared" si="62"/>
        <v>吕海波41282519830827491X</v>
      </c>
      <c r="E223" s="155">
        <v>18703698488</v>
      </c>
      <c r="F223" s="115"/>
      <c r="G223" s="115">
        <v>2</v>
      </c>
      <c r="H223" s="115"/>
      <c r="I223" s="115">
        <v>20</v>
      </c>
      <c r="J223" s="115">
        <v>2027</v>
      </c>
      <c r="K223" s="115">
        <v>55.71</v>
      </c>
      <c r="L223" s="115">
        <v>30000</v>
      </c>
      <c r="M223" s="115"/>
      <c r="N223" s="115"/>
      <c r="O223" s="431">
        <v>9544.99</v>
      </c>
      <c r="P223" s="115">
        <f t="shared" si="71"/>
        <v>531751</v>
      </c>
      <c r="Q223" s="115" t="s">
        <v>66</v>
      </c>
      <c r="R223" s="115">
        <v>271751</v>
      </c>
      <c r="S223" s="115"/>
      <c r="T223" s="115">
        <v>260000</v>
      </c>
      <c r="U223" s="115"/>
      <c r="V223" s="115"/>
      <c r="W223" s="115">
        <v>3621</v>
      </c>
      <c r="X223" s="115">
        <v>550</v>
      </c>
      <c r="Y223" s="115"/>
      <c r="Z223" s="115"/>
      <c r="AA223" s="115"/>
      <c r="AB223" s="115"/>
      <c r="AC223" s="115"/>
      <c r="AD223" s="115"/>
      <c r="AE223" s="115"/>
      <c r="AF223" s="291"/>
      <c r="AG223" s="246">
        <v>42426</v>
      </c>
      <c r="AH223" s="133">
        <v>221164</v>
      </c>
      <c r="AI223" s="132">
        <f t="shared" si="69"/>
        <v>275922</v>
      </c>
      <c r="AJ223" s="132">
        <f t="shared" si="70"/>
        <v>275922</v>
      </c>
      <c r="AK223" s="132">
        <f t="shared" si="68"/>
        <v>0</v>
      </c>
      <c r="AL223" s="176" t="s">
        <v>749</v>
      </c>
      <c r="AM223" s="133"/>
      <c r="AN223" s="246">
        <v>44841</v>
      </c>
      <c r="AO223" s="259"/>
    </row>
    <row r="224" s="187" customFormat="1" customHeight="1" spans="1:41">
      <c r="A224" s="115" t="s">
        <v>833</v>
      </c>
      <c r="B224" s="115" t="s">
        <v>834</v>
      </c>
      <c r="C224" s="193" t="s">
        <v>835</v>
      </c>
      <c r="D224" s="193" t="str">
        <f t="shared" si="62"/>
        <v>付亚杰412825198807064984</v>
      </c>
      <c r="E224" s="155">
        <v>13526435083</v>
      </c>
      <c r="F224" s="115"/>
      <c r="G224" s="115">
        <v>9</v>
      </c>
      <c r="H224" s="115">
        <v>3</v>
      </c>
      <c r="I224" s="115">
        <v>17</v>
      </c>
      <c r="J224" s="115">
        <v>1703</v>
      </c>
      <c r="K224" s="115">
        <v>99.56</v>
      </c>
      <c r="L224" s="115">
        <v>8702</v>
      </c>
      <c r="M224" s="115"/>
      <c r="N224" s="115"/>
      <c r="O224" s="431">
        <v>8601.6</v>
      </c>
      <c r="P224" s="115">
        <f t="shared" si="71"/>
        <v>856375</v>
      </c>
      <c r="Q224" s="115" t="s">
        <v>66</v>
      </c>
      <c r="R224" s="115">
        <v>266375</v>
      </c>
      <c r="S224" s="115"/>
      <c r="T224" s="115" t="s">
        <v>47</v>
      </c>
      <c r="U224" s="115"/>
      <c r="V224" s="115">
        <v>590000</v>
      </c>
      <c r="W224" s="115">
        <v>6471</v>
      </c>
      <c r="X224" s="115">
        <v>80</v>
      </c>
      <c r="Y224" s="115"/>
      <c r="Z224" s="115" t="s">
        <v>48</v>
      </c>
      <c r="AA224" s="115"/>
      <c r="AB224" s="115">
        <f>3235+5410</f>
        <v>8645</v>
      </c>
      <c r="AC224" s="115">
        <v>20000</v>
      </c>
      <c r="AD224" s="115">
        <v>12845.62</v>
      </c>
      <c r="AE224" s="115"/>
      <c r="AF224" s="291"/>
      <c r="AG224" s="246">
        <v>42042</v>
      </c>
      <c r="AH224" s="133"/>
      <c r="AI224" s="132">
        <f t="shared" si="69"/>
        <v>904416.62</v>
      </c>
      <c r="AJ224" s="132">
        <f t="shared" si="70"/>
        <v>862926</v>
      </c>
      <c r="AK224" s="132">
        <f t="shared" si="68"/>
        <v>41490.62</v>
      </c>
      <c r="AL224" s="176"/>
      <c r="AM224" s="133"/>
      <c r="AN224" s="246">
        <v>44841</v>
      </c>
      <c r="AO224" s="259"/>
    </row>
    <row r="225" s="187" customFormat="1" customHeight="1" spans="1:41">
      <c r="A225" s="115" t="s">
        <v>836</v>
      </c>
      <c r="B225" s="115" t="s">
        <v>837</v>
      </c>
      <c r="C225" s="193" t="s">
        <v>838</v>
      </c>
      <c r="D225" s="193" t="str">
        <f t="shared" si="62"/>
        <v>刘亚南410103198208281938</v>
      </c>
      <c r="E225" s="155" t="s">
        <v>839</v>
      </c>
      <c r="F225" s="115"/>
      <c r="G225" s="115">
        <v>10</v>
      </c>
      <c r="H225" s="115">
        <v>2</v>
      </c>
      <c r="I225" s="115">
        <v>27</v>
      </c>
      <c r="J225" s="115">
        <v>2705</v>
      </c>
      <c r="K225" s="115">
        <v>93.84</v>
      </c>
      <c r="L225" s="115">
        <v>17900</v>
      </c>
      <c r="M225" s="115"/>
      <c r="N225" s="115"/>
      <c r="O225" s="431">
        <v>14500</v>
      </c>
      <c r="P225" s="115">
        <f t="shared" si="71"/>
        <v>1360680</v>
      </c>
      <c r="Q225" s="115" t="s">
        <v>66</v>
      </c>
      <c r="R225" s="115">
        <v>720680</v>
      </c>
      <c r="S225" s="115"/>
      <c r="T225" s="115">
        <v>640000</v>
      </c>
      <c r="U225" s="115"/>
      <c r="V225" s="115"/>
      <c r="W225" s="115">
        <v>6099</v>
      </c>
      <c r="X225" s="115">
        <v>80</v>
      </c>
      <c r="Y225" s="115"/>
      <c r="Z225" s="115"/>
      <c r="AA225" s="115"/>
      <c r="AB225" s="115"/>
      <c r="AC225" s="115"/>
      <c r="AD225" s="115"/>
      <c r="AE225" s="115"/>
      <c r="AF225" s="291"/>
      <c r="AG225" s="246">
        <v>43091</v>
      </c>
      <c r="AH225" s="133">
        <f>AJ225</f>
        <v>726859</v>
      </c>
      <c r="AI225" s="132">
        <f t="shared" si="69"/>
        <v>726859</v>
      </c>
      <c r="AJ225" s="132">
        <f t="shared" si="70"/>
        <v>726859</v>
      </c>
      <c r="AK225" s="132">
        <f t="shared" si="68"/>
        <v>0</v>
      </c>
      <c r="AL225" s="176"/>
      <c r="AM225" s="133"/>
      <c r="AN225" s="246">
        <v>44841</v>
      </c>
      <c r="AO225" s="259"/>
    </row>
    <row r="226" s="187" customFormat="1" customHeight="1" spans="1:41">
      <c r="A226" s="115" t="s">
        <v>840</v>
      </c>
      <c r="B226" s="115" t="s">
        <v>841</v>
      </c>
      <c r="C226" s="193" t="s">
        <v>842</v>
      </c>
      <c r="D226" s="193" t="str">
        <f t="shared" si="62"/>
        <v>付亚萍/周广412825198503214920</v>
      </c>
      <c r="E226" s="155" t="s">
        <v>843</v>
      </c>
      <c r="F226" s="115"/>
      <c r="G226" s="115">
        <v>10</v>
      </c>
      <c r="H226" s="115">
        <v>2</v>
      </c>
      <c r="I226" s="115">
        <v>8</v>
      </c>
      <c r="J226" s="115">
        <v>805</v>
      </c>
      <c r="K226" s="115">
        <v>93.84</v>
      </c>
      <c r="L226" s="115">
        <v>17900</v>
      </c>
      <c r="M226" s="115"/>
      <c r="N226" s="115"/>
      <c r="O226" s="431">
        <v>15000</v>
      </c>
      <c r="P226" s="115">
        <f t="shared" si="71"/>
        <v>1407600</v>
      </c>
      <c r="Q226" s="115" t="s">
        <v>66</v>
      </c>
      <c r="R226" s="115">
        <v>740500</v>
      </c>
      <c r="S226" s="115"/>
      <c r="T226" s="115">
        <v>667100</v>
      </c>
      <c r="U226" s="115"/>
      <c r="V226" s="115"/>
      <c r="W226" s="115"/>
      <c r="X226" s="115"/>
      <c r="Y226" s="115"/>
      <c r="Z226" s="115"/>
      <c r="AA226" s="115"/>
      <c r="AB226" s="115">
        <f>230+1572</f>
        <v>1802</v>
      </c>
      <c r="AC226" s="115"/>
      <c r="AD226" s="115"/>
      <c r="AE226" s="115"/>
      <c r="AF226" s="291"/>
      <c r="AG226" s="246">
        <v>42809</v>
      </c>
      <c r="AH226" s="133"/>
      <c r="AI226" s="132">
        <f t="shared" ref="AI226:AI231" si="72">R226+V226+W226+X226+AA226+AB226+AC226+AD226</f>
        <v>742302</v>
      </c>
      <c r="AJ226" s="132">
        <f t="shared" ref="AJ226:AJ231" si="73">R226+W226+V226+X226+AA226</f>
        <v>740500</v>
      </c>
      <c r="AK226" s="132">
        <f t="shared" ref="AK226:AK231" si="74">AI226-AJ226</f>
        <v>1802</v>
      </c>
      <c r="AL226" s="176"/>
      <c r="AM226" s="133"/>
      <c r="AN226" s="246">
        <v>44841</v>
      </c>
      <c r="AO226" s="259"/>
    </row>
    <row r="227" s="187" customFormat="1" customHeight="1" spans="1:41">
      <c r="A227" s="115" t="s">
        <v>844</v>
      </c>
      <c r="B227" s="115" t="s">
        <v>845</v>
      </c>
      <c r="C227" s="193" t="s">
        <v>846</v>
      </c>
      <c r="D227" s="193" t="str">
        <f t="shared" si="62"/>
        <v>周广410102198410180077</v>
      </c>
      <c r="E227" s="155">
        <v>13783697700</v>
      </c>
      <c r="F227" s="115"/>
      <c r="G227" s="115">
        <v>2</v>
      </c>
      <c r="H227" s="115"/>
      <c r="I227" s="115">
        <v>7</v>
      </c>
      <c r="J227" s="115">
        <v>729</v>
      </c>
      <c r="K227" s="115">
        <v>50.13</v>
      </c>
      <c r="L227" s="115">
        <v>20000</v>
      </c>
      <c r="M227" s="115"/>
      <c r="N227" s="115"/>
      <c r="O227" s="431">
        <v>9435.01</v>
      </c>
      <c r="P227" s="115">
        <f t="shared" si="71"/>
        <v>472977</v>
      </c>
      <c r="Q227" s="115" t="s">
        <v>66</v>
      </c>
      <c r="R227" s="115">
        <v>252977</v>
      </c>
      <c r="S227" s="115"/>
      <c r="T227" s="115"/>
      <c r="U227" s="115">
        <v>0</v>
      </c>
      <c r="V227" s="115">
        <v>220000</v>
      </c>
      <c r="W227" s="115">
        <v>3258</v>
      </c>
      <c r="X227" s="115">
        <v>550</v>
      </c>
      <c r="Y227" s="115" t="s">
        <v>48</v>
      </c>
      <c r="Z227" s="115"/>
      <c r="AA227" s="115"/>
      <c r="AB227" s="115"/>
      <c r="AC227" s="115"/>
      <c r="AD227" s="115"/>
      <c r="AE227" s="115"/>
      <c r="AF227" s="291"/>
      <c r="AG227" s="246">
        <v>43068</v>
      </c>
      <c r="AH227" s="133">
        <f>AJ227</f>
        <v>476785</v>
      </c>
      <c r="AI227" s="132">
        <f t="shared" si="72"/>
        <v>476785</v>
      </c>
      <c r="AJ227" s="132">
        <f t="shared" si="73"/>
        <v>476785</v>
      </c>
      <c r="AK227" s="132">
        <f t="shared" si="74"/>
        <v>0</v>
      </c>
      <c r="AL227" s="176"/>
      <c r="AM227" s="133"/>
      <c r="AN227" s="246">
        <v>44841</v>
      </c>
      <c r="AO227" s="259"/>
    </row>
    <row r="228" s="187" customFormat="1" customHeight="1" spans="1:41">
      <c r="A228" s="115" t="s">
        <v>847</v>
      </c>
      <c r="B228" s="115" t="s">
        <v>848</v>
      </c>
      <c r="C228" s="193" t="s">
        <v>849</v>
      </c>
      <c r="D228" s="193" t="str">
        <f t="shared" si="62"/>
        <v>李光明410104198210312023</v>
      </c>
      <c r="E228" s="155" t="s">
        <v>850</v>
      </c>
      <c r="F228" s="115"/>
      <c r="G228" s="115">
        <v>10</v>
      </c>
      <c r="H228" s="115">
        <v>2</v>
      </c>
      <c r="I228" s="115">
        <v>7</v>
      </c>
      <c r="J228" s="115">
        <v>708</v>
      </c>
      <c r="K228" s="115">
        <v>94.61</v>
      </c>
      <c r="L228" s="115">
        <v>19920</v>
      </c>
      <c r="M228" s="115"/>
      <c r="N228" s="115"/>
      <c r="O228" s="431">
        <v>19522.25</v>
      </c>
      <c r="P228" s="115">
        <f t="shared" si="71"/>
        <v>1847000</v>
      </c>
      <c r="Q228" s="115" t="s">
        <v>66</v>
      </c>
      <c r="R228" s="115">
        <v>557000</v>
      </c>
      <c r="S228" s="115"/>
      <c r="T228" s="115">
        <v>1290000</v>
      </c>
      <c r="U228" s="115"/>
      <c r="V228" s="115"/>
      <c r="W228" s="115">
        <v>6149</v>
      </c>
      <c r="X228" s="115">
        <v>80</v>
      </c>
      <c r="Y228" s="115"/>
      <c r="Z228" s="115"/>
      <c r="AA228" s="115"/>
      <c r="AB228" s="115"/>
      <c r="AC228" s="115"/>
      <c r="AD228" s="115"/>
      <c r="AE228" s="115"/>
      <c r="AF228" s="291"/>
      <c r="AG228" s="246">
        <v>43355</v>
      </c>
      <c r="AH228" s="133">
        <f>AJ228</f>
        <v>563229</v>
      </c>
      <c r="AI228" s="132">
        <f t="shared" si="72"/>
        <v>563229</v>
      </c>
      <c r="AJ228" s="132">
        <f t="shared" si="73"/>
        <v>563229</v>
      </c>
      <c r="AK228" s="132">
        <f t="shared" si="74"/>
        <v>0</v>
      </c>
      <c r="AL228" s="176"/>
      <c r="AM228" s="133"/>
      <c r="AN228" s="246">
        <v>44841</v>
      </c>
      <c r="AO228" s="259"/>
    </row>
    <row r="229" s="187" customFormat="1" customHeight="1" spans="1:41">
      <c r="A229" s="115" t="s">
        <v>851</v>
      </c>
      <c r="B229" s="115" t="s">
        <v>852</v>
      </c>
      <c r="C229" s="193" t="s">
        <v>853</v>
      </c>
      <c r="D229" s="193" t="str">
        <f t="shared" si="62"/>
        <v>张宇410323198301190519</v>
      </c>
      <c r="E229" s="155">
        <v>13103719213</v>
      </c>
      <c r="F229" s="115"/>
      <c r="G229" s="115">
        <v>3</v>
      </c>
      <c r="H229" s="115"/>
      <c r="I229" s="115">
        <v>13</v>
      </c>
      <c r="J229" s="115">
        <v>1303</v>
      </c>
      <c r="K229" s="115">
        <v>52.4</v>
      </c>
      <c r="L229" s="115">
        <v>20000</v>
      </c>
      <c r="M229" s="115"/>
      <c r="N229" s="115"/>
      <c r="O229" s="431">
        <v>9609.62</v>
      </c>
      <c r="P229" s="115">
        <v>503544</v>
      </c>
      <c r="Q229" s="115" t="s">
        <v>66</v>
      </c>
      <c r="R229" s="115">
        <v>253544</v>
      </c>
      <c r="S229" s="115" t="s">
        <v>47</v>
      </c>
      <c r="T229" s="115"/>
      <c r="U229" s="115"/>
      <c r="V229" s="115">
        <v>250000</v>
      </c>
      <c r="W229" s="115">
        <v>3406</v>
      </c>
      <c r="X229" s="115">
        <v>550</v>
      </c>
      <c r="Y229" s="115" t="s">
        <v>48</v>
      </c>
      <c r="Z229" s="115"/>
      <c r="AA229" s="115"/>
      <c r="AB229" s="115"/>
      <c r="AC229" s="115"/>
      <c r="AD229" s="115"/>
      <c r="AE229" s="115"/>
      <c r="AF229" s="291"/>
      <c r="AG229" s="246">
        <v>43101</v>
      </c>
      <c r="AH229" s="133"/>
      <c r="AI229" s="132">
        <f t="shared" si="72"/>
        <v>507500</v>
      </c>
      <c r="AJ229" s="132">
        <f t="shared" si="73"/>
        <v>507500</v>
      </c>
      <c r="AK229" s="132">
        <f t="shared" si="74"/>
        <v>0</v>
      </c>
      <c r="AL229" s="176"/>
      <c r="AM229" s="133" t="s">
        <v>854</v>
      </c>
      <c r="AN229" s="246">
        <v>44842</v>
      </c>
      <c r="AO229" s="259"/>
    </row>
    <row r="230" s="187" customFormat="1" customHeight="1" spans="1:41">
      <c r="A230" s="115" t="s">
        <v>855</v>
      </c>
      <c r="B230" s="115" t="s">
        <v>856</v>
      </c>
      <c r="C230" s="193" t="s">
        <v>857</v>
      </c>
      <c r="D230" s="193" t="str">
        <f t="shared" si="62"/>
        <v>周燕景41050319690507104X</v>
      </c>
      <c r="E230" s="155" t="s">
        <v>858</v>
      </c>
      <c r="F230" s="115"/>
      <c r="G230" s="115">
        <v>10</v>
      </c>
      <c r="H230" s="115">
        <v>2</v>
      </c>
      <c r="I230" s="115">
        <v>14</v>
      </c>
      <c r="J230" s="115">
        <v>1405</v>
      </c>
      <c r="K230" s="115">
        <v>93.84</v>
      </c>
      <c r="L230" s="115">
        <v>17900</v>
      </c>
      <c r="M230" s="115"/>
      <c r="N230" s="115"/>
      <c r="O230" s="431">
        <v>13800</v>
      </c>
      <c r="P230" s="115">
        <v>1294992</v>
      </c>
      <c r="Q230" s="115" t="s">
        <v>56</v>
      </c>
      <c r="R230" s="115">
        <v>1355881</v>
      </c>
      <c r="S230" s="115">
        <v>-60889</v>
      </c>
      <c r="T230" s="115"/>
      <c r="U230" s="115" t="s">
        <v>47</v>
      </c>
      <c r="V230" s="115"/>
      <c r="W230" s="115">
        <v>6099</v>
      </c>
      <c r="X230" s="115">
        <v>80</v>
      </c>
      <c r="Y230" s="115" t="s">
        <v>48</v>
      </c>
      <c r="Z230" s="115"/>
      <c r="AA230" s="115"/>
      <c r="AB230" s="115"/>
      <c r="AC230" s="115"/>
      <c r="AD230" s="115"/>
      <c r="AE230" s="115"/>
      <c r="AF230" s="291"/>
      <c r="AG230" s="246">
        <v>43980</v>
      </c>
      <c r="AH230" s="133"/>
      <c r="AI230" s="132">
        <f t="shared" si="72"/>
        <v>1362060</v>
      </c>
      <c r="AJ230" s="132">
        <f t="shared" si="73"/>
        <v>1362060</v>
      </c>
      <c r="AK230" s="132">
        <f t="shared" si="74"/>
        <v>0</v>
      </c>
      <c r="AL230" s="176"/>
      <c r="AM230" s="133" t="s">
        <v>854</v>
      </c>
      <c r="AN230" s="246">
        <v>44842</v>
      </c>
      <c r="AO230" s="259"/>
    </row>
    <row r="231" s="187" customFormat="1" customHeight="1" spans="1:41">
      <c r="A231" s="115" t="s">
        <v>859</v>
      </c>
      <c r="B231" s="115" t="s">
        <v>860</v>
      </c>
      <c r="C231" s="193" t="s">
        <v>861</v>
      </c>
      <c r="D231" s="193" t="str">
        <f t="shared" si="62"/>
        <v>董晖珺410183199005282128</v>
      </c>
      <c r="E231" s="155" t="s">
        <v>862</v>
      </c>
      <c r="F231" s="115"/>
      <c r="G231" s="115">
        <v>9</v>
      </c>
      <c r="H231" s="115">
        <v>3</v>
      </c>
      <c r="I231" s="115">
        <v>25</v>
      </c>
      <c r="J231" s="115">
        <v>2504</v>
      </c>
      <c r="K231" s="115">
        <v>94.65</v>
      </c>
      <c r="L231" s="115">
        <v>8790</v>
      </c>
      <c r="M231" s="115"/>
      <c r="N231" s="115"/>
      <c r="O231" s="431">
        <v>8689.6</v>
      </c>
      <c r="P231" s="115">
        <v>822470.790836654</v>
      </c>
      <c r="Q231" s="115" t="s">
        <v>66</v>
      </c>
      <c r="R231" s="115">
        <v>261731</v>
      </c>
      <c r="S231" s="115"/>
      <c r="T231" s="115">
        <v>560739.790836654</v>
      </c>
      <c r="U231" s="115"/>
      <c r="V231" s="115"/>
      <c r="W231" s="115"/>
      <c r="X231" s="115"/>
      <c r="Y231" s="115"/>
      <c r="Z231" s="115"/>
      <c r="AA231" s="115"/>
      <c r="AB231" s="115"/>
      <c r="AC231" s="115"/>
      <c r="AD231" s="115"/>
      <c r="AE231" s="115"/>
      <c r="AF231" s="291"/>
      <c r="AG231" s="246">
        <v>42478</v>
      </c>
      <c r="AH231" s="133">
        <f>AJ231</f>
        <v>261731</v>
      </c>
      <c r="AI231" s="132">
        <f t="shared" si="72"/>
        <v>261731</v>
      </c>
      <c r="AJ231" s="132">
        <f t="shared" si="73"/>
        <v>261731</v>
      </c>
      <c r="AK231" s="132">
        <f t="shared" si="74"/>
        <v>0</v>
      </c>
      <c r="AL231" s="176"/>
      <c r="AM231" s="133" t="s">
        <v>854</v>
      </c>
      <c r="AN231" s="246">
        <v>44842</v>
      </c>
      <c r="AO231" s="259"/>
    </row>
    <row r="232" s="187" customFormat="1" customHeight="1" spans="1:41">
      <c r="A232" s="115" t="s">
        <v>863</v>
      </c>
      <c r="B232" s="115" t="s">
        <v>864</v>
      </c>
      <c r="C232" s="193" t="s">
        <v>865</v>
      </c>
      <c r="D232" s="193" t="str">
        <f t="shared" si="62"/>
        <v>王亚410102199008080064</v>
      </c>
      <c r="E232" s="155" t="s">
        <v>866</v>
      </c>
      <c r="F232" s="115"/>
      <c r="G232" s="115">
        <v>3</v>
      </c>
      <c r="H232" s="115"/>
      <c r="I232" s="115">
        <v>17</v>
      </c>
      <c r="J232" s="115">
        <v>1703</v>
      </c>
      <c r="K232" s="115">
        <v>52.4</v>
      </c>
      <c r="L232" s="115">
        <v>20000</v>
      </c>
      <c r="M232" s="115"/>
      <c r="N232" s="115"/>
      <c r="O232" s="431">
        <v>13403.8512869399</v>
      </c>
      <c r="P232" s="115">
        <v>702362</v>
      </c>
      <c r="Q232" s="115" t="s">
        <v>66</v>
      </c>
      <c r="R232" s="115">
        <v>352362</v>
      </c>
      <c r="S232" s="115"/>
      <c r="T232" s="115">
        <v>350000</v>
      </c>
      <c r="U232" s="115"/>
      <c r="V232" s="115"/>
      <c r="W232" s="115">
        <v>3406</v>
      </c>
      <c r="X232" s="115">
        <v>550</v>
      </c>
      <c r="Y232" s="115" t="s">
        <v>48</v>
      </c>
      <c r="Z232" s="115"/>
      <c r="AA232" s="115"/>
      <c r="AB232" s="115">
        <f>1805-550</f>
        <v>1255</v>
      </c>
      <c r="AC232" s="115"/>
      <c r="AD232" s="115"/>
      <c r="AE232" s="115"/>
      <c r="AF232" s="291"/>
      <c r="AG232" s="246">
        <v>43314</v>
      </c>
      <c r="AH232" s="133">
        <f>AJ232</f>
        <v>356318</v>
      </c>
      <c r="AI232" s="132">
        <f t="shared" ref="AI232:AI246" si="75">R232+V232+W232+X232+AA232+AB232+AC232+AD232</f>
        <v>357573</v>
      </c>
      <c r="AJ232" s="132">
        <f t="shared" ref="AJ232:AJ246" si="76">R232+W232+V232+X232+AA232</f>
        <v>356318</v>
      </c>
      <c r="AK232" s="132">
        <f t="shared" ref="AK232:AK246" si="77">AI232-AJ232</f>
        <v>1255</v>
      </c>
      <c r="AL232" s="176"/>
      <c r="AM232" s="133" t="s">
        <v>854</v>
      </c>
      <c r="AN232" s="246">
        <v>44842</v>
      </c>
      <c r="AO232" s="259"/>
    </row>
    <row r="233" s="187" customFormat="1" customHeight="1" spans="1:41">
      <c r="A233" s="115" t="s">
        <v>867</v>
      </c>
      <c r="B233" s="115" t="s">
        <v>780</v>
      </c>
      <c r="C233" s="193" t="s">
        <v>868</v>
      </c>
      <c r="D233" s="193" t="str">
        <f t="shared" si="62"/>
        <v>张丹410101198610173529</v>
      </c>
      <c r="E233" s="155" t="s">
        <v>869</v>
      </c>
      <c r="F233" s="115"/>
      <c r="G233" s="115">
        <v>10</v>
      </c>
      <c r="H233" s="115">
        <v>2</v>
      </c>
      <c r="I233" s="115">
        <v>31</v>
      </c>
      <c r="J233" s="115">
        <v>3105</v>
      </c>
      <c r="K233" s="115">
        <v>93.84</v>
      </c>
      <c r="L233" s="115">
        <v>12700</v>
      </c>
      <c r="M233" s="115"/>
      <c r="N233" s="115"/>
      <c r="O233" s="431">
        <v>12600</v>
      </c>
      <c r="P233" s="115">
        <v>1182384</v>
      </c>
      <c r="Q233" s="115" t="s">
        <v>56</v>
      </c>
      <c r="R233" s="115">
        <v>1237441</v>
      </c>
      <c r="S233" s="115">
        <v>-55057</v>
      </c>
      <c r="T233" s="115" t="s">
        <v>47</v>
      </c>
      <c r="U233" s="115"/>
      <c r="V233" s="115"/>
      <c r="W233" s="115">
        <v>6099</v>
      </c>
      <c r="X233" s="115">
        <v>80</v>
      </c>
      <c r="Y233" s="115" t="s">
        <v>48</v>
      </c>
      <c r="Z233" s="115"/>
      <c r="AA233" s="115"/>
      <c r="AB233" s="115"/>
      <c r="AC233" s="115"/>
      <c r="AD233" s="115"/>
      <c r="AE233" s="115"/>
      <c r="AF233" s="291"/>
      <c r="AG233" s="246">
        <v>43996</v>
      </c>
      <c r="AH233" s="133"/>
      <c r="AI233" s="132">
        <f t="shared" si="75"/>
        <v>1243620</v>
      </c>
      <c r="AJ233" s="132">
        <f t="shared" si="76"/>
        <v>1243620</v>
      </c>
      <c r="AK233" s="132">
        <f t="shared" si="77"/>
        <v>0</v>
      </c>
      <c r="AL233" s="176"/>
      <c r="AM233" s="133" t="s">
        <v>854</v>
      </c>
      <c r="AN233" s="246">
        <v>44842</v>
      </c>
      <c r="AO233" s="259"/>
    </row>
    <row r="234" s="187" customFormat="1" customHeight="1" spans="1:41">
      <c r="A234" s="115" t="s">
        <v>870</v>
      </c>
      <c r="B234" s="115" t="s">
        <v>871</v>
      </c>
      <c r="C234" s="193"/>
      <c r="D234" s="193" t="str">
        <f t="shared" si="62"/>
        <v>齐新华</v>
      </c>
      <c r="E234" s="155" t="s">
        <v>872</v>
      </c>
      <c r="F234" s="115"/>
      <c r="G234" s="115">
        <v>6</v>
      </c>
      <c r="H234" s="115">
        <v>1</v>
      </c>
      <c r="I234" s="115">
        <v>8</v>
      </c>
      <c r="J234" s="115">
        <v>808</v>
      </c>
      <c r="K234" s="115">
        <v>109.13</v>
      </c>
      <c r="L234" s="115">
        <v>17900</v>
      </c>
      <c r="M234" s="115"/>
      <c r="N234" s="115"/>
      <c r="O234" s="431">
        <v>13500</v>
      </c>
      <c r="P234" s="115">
        <v>1473255</v>
      </c>
      <c r="Q234" s="115" t="s">
        <v>66</v>
      </c>
      <c r="R234" s="115">
        <v>736100</v>
      </c>
      <c r="S234" s="115"/>
      <c r="T234" s="115">
        <v>737155</v>
      </c>
      <c r="U234" s="115"/>
      <c r="V234" s="115"/>
      <c r="W234" s="115"/>
      <c r="X234" s="115"/>
      <c r="Y234" s="115"/>
      <c r="Z234" s="115"/>
      <c r="AA234" s="115"/>
      <c r="AB234" s="115"/>
      <c r="AC234" s="115"/>
      <c r="AD234" s="115"/>
      <c r="AE234" s="115" t="s">
        <v>123</v>
      </c>
      <c r="AF234" s="291" t="s">
        <v>160</v>
      </c>
      <c r="AG234" s="246">
        <v>42871</v>
      </c>
      <c r="AH234" s="133">
        <f>AJ234</f>
        <v>736100</v>
      </c>
      <c r="AI234" s="132">
        <f t="shared" si="75"/>
        <v>736100</v>
      </c>
      <c r="AJ234" s="132">
        <f t="shared" si="76"/>
        <v>736100</v>
      </c>
      <c r="AK234" s="132">
        <f t="shared" si="77"/>
        <v>0</v>
      </c>
      <c r="AL234" s="176"/>
      <c r="AM234" s="133" t="s">
        <v>854</v>
      </c>
      <c r="AN234" s="246">
        <v>44842</v>
      </c>
      <c r="AO234" s="259"/>
    </row>
    <row r="235" s="187" customFormat="1" customHeight="1" spans="1:41">
      <c r="A235" s="115" t="s">
        <v>873</v>
      </c>
      <c r="B235" s="115" t="s">
        <v>874</v>
      </c>
      <c r="C235" s="193" t="s">
        <v>875</v>
      </c>
      <c r="D235" s="193" t="str">
        <f t="shared" si="62"/>
        <v>豁祖华413023195312260001X</v>
      </c>
      <c r="E235" s="155" t="s">
        <v>876</v>
      </c>
      <c r="F235" s="115"/>
      <c r="G235" s="115">
        <v>6</v>
      </c>
      <c r="H235" s="115">
        <v>1</v>
      </c>
      <c r="I235" s="115">
        <v>18</v>
      </c>
      <c r="J235" s="115">
        <v>1805</v>
      </c>
      <c r="K235" s="115">
        <v>93.07</v>
      </c>
      <c r="L235" s="115">
        <v>19680</v>
      </c>
      <c r="M235" s="115"/>
      <c r="N235" s="115"/>
      <c r="O235" s="431">
        <v>13000</v>
      </c>
      <c r="P235" s="115">
        <v>1209910</v>
      </c>
      <c r="Q235" s="115" t="s">
        <v>66</v>
      </c>
      <c r="R235" s="115">
        <v>809910</v>
      </c>
      <c r="S235" s="115"/>
      <c r="T235" s="115">
        <v>400000</v>
      </c>
      <c r="U235" s="115"/>
      <c r="V235" s="115"/>
      <c r="W235" s="115">
        <v>6049</v>
      </c>
      <c r="X235" s="115">
        <v>80</v>
      </c>
      <c r="Y235" s="115"/>
      <c r="Z235" s="115"/>
      <c r="AA235" s="115"/>
      <c r="AB235" s="115"/>
      <c r="AC235" s="115"/>
      <c r="AD235" s="115"/>
      <c r="AE235" s="115"/>
      <c r="AF235" s="291"/>
      <c r="AG235" s="246">
        <v>43098</v>
      </c>
      <c r="AH235" s="133">
        <f>AJ235</f>
        <v>816039</v>
      </c>
      <c r="AI235" s="132">
        <f t="shared" si="75"/>
        <v>816039</v>
      </c>
      <c r="AJ235" s="132">
        <f t="shared" si="76"/>
        <v>816039</v>
      </c>
      <c r="AK235" s="132">
        <f t="shared" si="77"/>
        <v>0</v>
      </c>
      <c r="AL235" s="176"/>
      <c r="AM235" s="133" t="s">
        <v>854</v>
      </c>
      <c r="AN235" s="246">
        <v>44842</v>
      </c>
      <c r="AO235" s="259"/>
    </row>
    <row r="236" s="187" customFormat="1" customHeight="1" spans="1:41">
      <c r="A236" s="115" t="s">
        <v>877</v>
      </c>
      <c r="B236" s="115" t="s">
        <v>878</v>
      </c>
      <c r="C236" s="193" t="s">
        <v>879</v>
      </c>
      <c r="D236" s="193" t="str">
        <f t="shared" si="62"/>
        <v>孔令鹏410781198907100819</v>
      </c>
      <c r="E236" s="155">
        <v>13838287719</v>
      </c>
      <c r="F236" s="115"/>
      <c r="G236" s="115">
        <v>10</v>
      </c>
      <c r="H236" s="115">
        <v>2</v>
      </c>
      <c r="I236" s="115">
        <v>29</v>
      </c>
      <c r="J236" s="115">
        <v>2906</v>
      </c>
      <c r="K236" s="115">
        <v>99.52</v>
      </c>
      <c r="L236" s="115">
        <v>9100</v>
      </c>
      <c r="M236" s="115"/>
      <c r="N236" s="115"/>
      <c r="O236" s="431">
        <v>9000</v>
      </c>
      <c r="P236" s="115">
        <v>895680</v>
      </c>
      <c r="Q236" s="115" t="s">
        <v>66</v>
      </c>
      <c r="R236" s="115">
        <v>545680</v>
      </c>
      <c r="S236" s="115"/>
      <c r="T236" s="115">
        <v>350000</v>
      </c>
      <c r="U236" s="115"/>
      <c r="V236" s="115"/>
      <c r="W236" s="115">
        <v>6468</v>
      </c>
      <c r="X236" s="115">
        <v>80</v>
      </c>
      <c r="Y236" s="115"/>
      <c r="Z236" s="115"/>
      <c r="AA236" s="115"/>
      <c r="AB236" s="115"/>
      <c r="AC236" s="115"/>
      <c r="AD236" s="115"/>
      <c r="AE236" s="115"/>
      <c r="AF236" s="291"/>
      <c r="AG236" s="246">
        <v>43109</v>
      </c>
      <c r="AH236" s="133">
        <f>AJ236</f>
        <v>552228</v>
      </c>
      <c r="AI236" s="132">
        <f t="shared" si="75"/>
        <v>552228</v>
      </c>
      <c r="AJ236" s="132">
        <f t="shared" si="76"/>
        <v>552228</v>
      </c>
      <c r="AK236" s="132">
        <f t="shared" si="77"/>
        <v>0</v>
      </c>
      <c r="AL236" s="176"/>
      <c r="AM236" s="133" t="s">
        <v>854</v>
      </c>
      <c r="AN236" s="246">
        <v>44842</v>
      </c>
      <c r="AO236" s="259"/>
    </row>
    <row r="237" s="187" customFormat="1" customHeight="1" spans="1:41">
      <c r="A237" s="115" t="s">
        <v>880</v>
      </c>
      <c r="B237" s="115" t="s">
        <v>881</v>
      </c>
      <c r="C237" s="193" t="s">
        <v>882</v>
      </c>
      <c r="D237" s="193" t="str">
        <f t="shared" si="62"/>
        <v>张晓琴410105195504151125</v>
      </c>
      <c r="E237" s="155">
        <v>13523089811</v>
      </c>
      <c r="F237" s="115"/>
      <c r="G237" s="115">
        <v>2</v>
      </c>
      <c r="H237" s="115"/>
      <c r="I237" s="115">
        <v>10</v>
      </c>
      <c r="J237" s="115">
        <v>1008</v>
      </c>
      <c r="K237" s="115">
        <v>49.74</v>
      </c>
      <c r="L237" s="115">
        <v>20000</v>
      </c>
      <c r="M237" s="115"/>
      <c r="N237" s="115"/>
      <c r="O237" s="431">
        <v>8824.99</v>
      </c>
      <c r="P237" s="115">
        <v>438955</v>
      </c>
      <c r="Q237" s="115" t="s">
        <v>66</v>
      </c>
      <c r="R237" s="115">
        <v>397566</v>
      </c>
      <c r="S237" s="115"/>
      <c r="T237" s="115">
        <v>41389</v>
      </c>
      <c r="U237" s="115"/>
      <c r="V237" s="115"/>
      <c r="W237" s="115"/>
      <c r="X237" s="115"/>
      <c r="Y237" s="115"/>
      <c r="Z237" s="115"/>
      <c r="AA237" s="115"/>
      <c r="AB237" s="115"/>
      <c r="AC237" s="115"/>
      <c r="AD237" s="115"/>
      <c r="AE237" s="115"/>
      <c r="AF237" s="291"/>
      <c r="AG237" s="246">
        <v>42390</v>
      </c>
      <c r="AH237" s="133">
        <v>397566</v>
      </c>
      <c r="AI237" s="132">
        <f t="shared" si="75"/>
        <v>397566</v>
      </c>
      <c r="AJ237" s="132">
        <f t="shared" si="76"/>
        <v>397566</v>
      </c>
      <c r="AK237" s="132">
        <f t="shared" si="77"/>
        <v>0</v>
      </c>
      <c r="AL237" s="176"/>
      <c r="AM237" s="133" t="s">
        <v>854</v>
      </c>
      <c r="AN237" s="246">
        <v>44842</v>
      </c>
      <c r="AO237" s="259"/>
    </row>
    <row r="238" s="187" customFormat="1" customHeight="1" spans="1:41">
      <c r="A238" s="115" t="s">
        <v>883</v>
      </c>
      <c r="B238" s="115" t="s">
        <v>884</v>
      </c>
      <c r="C238" s="193" t="s">
        <v>885</v>
      </c>
      <c r="D238" s="193" t="str">
        <f t="shared" si="62"/>
        <v>秦芳410603198905010022</v>
      </c>
      <c r="E238" s="155">
        <v>15238300067</v>
      </c>
      <c r="F238" s="115"/>
      <c r="G238" s="115">
        <v>9</v>
      </c>
      <c r="H238" s="115">
        <v>3</v>
      </c>
      <c r="I238" s="115">
        <v>18</v>
      </c>
      <c r="J238" s="115">
        <v>1801</v>
      </c>
      <c r="K238" s="115">
        <v>93.4</v>
      </c>
      <c r="L238" s="115">
        <v>8774</v>
      </c>
      <c r="M238" s="115"/>
      <c r="N238" s="115"/>
      <c r="O238" s="431">
        <v>8673.6</v>
      </c>
      <c r="P238" s="115">
        <f t="shared" ref="P238:P246" si="78">ROUND(O238*K238,0)</f>
        <v>810114</v>
      </c>
      <c r="Q238" s="115" t="s">
        <v>46</v>
      </c>
      <c r="R238" s="115">
        <v>486114</v>
      </c>
      <c r="S238" s="115"/>
      <c r="T238" s="115" t="s">
        <v>47</v>
      </c>
      <c r="U238" s="115"/>
      <c r="V238" s="115">
        <v>324000</v>
      </c>
      <c r="W238" s="115">
        <v>6071</v>
      </c>
      <c r="X238" s="115">
        <v>80</v>
      </c>
      <c r="Y238" s="115"/>
      <c r="Z238" s="115" t="s">
        <v>48</v>
      </c>
      <c r="AA238" s="115"/>
      <c r="AB238" s="115">
        <v>1000</v>
      </c>
      <c r="AC238" s="115"/>
      <c r="AD238" s="115"/>
      <c r="AE238" s="115"/>
      <c r="AF238" s="291"/>
      <c r="AG238" s="246">
        <v>43977</v>
      </c>
      <c r="AH238" s="133"/>
      <c r="AI238" s="132">
        <f t="shared" si="75"/>
        <v>817265</v>
      </c>
      <c r="AJ238" s="132">
        <f t="shared" si="76"/>
        <v>816265</v>
      </c>
      <c r="AK238" s="132">
        <f t="shared" si="77"/>
        <v>1000</v>
      </c>
      <c r="AL238" s="176"/>
      <c r="AM238" s="133" t="s">
        <v>886</v>
      </c>
      <c r="AN238" s="246">
        <v>44842</v>
      </c>
      <c r="AO238" s="259"/>
    </row>
    <row r="239" s="187" customFormat="1" customHeight="1" spans="1:41">
      <c r="A239" s="115" t="s">
        <v>887</v>
      </c>
      <c r="B239" s="115" t="s">
        <v>888</v>
      </c>
      <c r="C239" s="193" t="s">
        <v>889</v>
      </c>
      <c r="D239" s="193" t="str">
        <f t="shared" si="62"/>
        <v>秦丹410603199108190045</v>
      </c>
      <c r="E239" s="155">
        <v>15238300067</v>
      </c>
      <c r="F239" s="115"/>
      <c r="G239" s="115">
        <v>10</v>
      </c>
      <c r="H239" s="115">
        <v>2</v>
      </c>
      <c r="I239" s="115">
        <v>13</v>
      </c>
      <c r="J239" s="115">
        <v>1306</v>
      </c>
      <c r="K239" s="115">
        <v>99.52</v>
      </c>
      <c r="L239" s="115">
        <v>8540</v>
      </c>
      <c r="M239" s="115"/>
      <c r="N239" s="115"/>
      <c r="O239" s="431">
        <v>8440</v>
      </c>
      <c r="P239" s="115">
        <f t="shared" si="78"/>
        <v>839949</v>
      </c>
      <c r="Q239" s="115" t="s">
        <v>46</v>
      </c>
      <c r="R239" s="115">
        <v>449949</v>
      </c>
      <c r="S239" s="115"/>
      <c r="T239" s="115" t="s">
        <v>47</v>
      </c>
      <c r="U239" s="115"/>
      <c r="V239" s="115">
        <v>390000</v>
      </c>
      <c r="W239" s="115">
        <v>6468</v>
      </c>
      <c r="X239" s="115">
        <v>80</v>
      </c>
      <c r="Y239" s="115"/>
      <c r="Z239" s="115" t="s">
        <v>48</v>
      </c>
      <c r="AA239" s="115"/>
      <c r="AB239" s="115">
        <v>1000</v>
      </c>
      <c r="AC239" s="115"/>
      <c r="AD239" s="115"/>
      <c r="AE239" s="115"/>
      <c r="AF239" s="291"/>
      <c r="AG239" s="246">
        <v>43092</v>
      </c>
      <c r="AH239" s="133">
        <f>W239+X239+266916</f>
        <v>273464</v>
      </c>
      <c r="AI239" s="132">
        <f t="shared" si="75"/>
        <v>847497</v>
      </c>
      <c r="AJ239" s="132">
        <f t="shared" si="76"/>
        <v>846497</v>
      </c>
      <c r="AK239" s="132">
        <f t="shared" si="77"/>
        <v>1000</v>
      </c>
      <c r="AL239" s="176" t="s">
        <v>890</v>
      </c>
      <c r="AM239" s="133" t="s">
        <v>886</v>
      </c>
      <c r="AN239" s="246">
        <v>44842</v>
      </c>
      <c r="AO239" s="259"/>
    </row>
    <row r="240" s="187" customFormat="1" customHeight="1" spans="1:41">
      <c r="A240" s="115" t="s">
        <v>891</v>
      </c>
      <c r="B240" s="115" t="s">
        <v>892</v>
      </c>
      <c r="C240" s="193" t="s">
        <v>893</v>
      </c>
      <c r="D240" s="193" t="str">
        <f t="shared" si="62"/>
        <v>李梦梦410422198906120029</v>
      </c>
      <c r="E240" s="155">
        <v>18538063900</v>
      </c>
      <c r="F240" s="115"/>
      <c r="G240" s="115">
        <v>3</v>
      </c>
      <c r="H240" s="115"/>
      <c r="I240" s="115">
        <v>15</v>
      </c>
      <c r="J240" s="115">
        <v>1509</v>
      </c>
      <c r="K240" s="115">
        <v>62.31</v>
      </c>
      <c r="L240" s="115">
        <v>30000</v>
      </c>
      <c r="M240" s="115"/>
      <c r="N240" s="115"/>
      <c r="O240" s="431">
        <v>14925.37</v>
      </c>
      <c r="P240" s="115">
        <f t="shared" si="78"/>
        <v>930000</v>
      </c>
      <c r="Q240" s="115" t="s">
        <v>66</v>
      </c>
      <c r="R240" s="115">
        <v>470000</v>
      </c>
      <c r="S240" s="115"/>
      <c r="T240" s="115">
        <v>460000</v>
      </c>
      <c r="U240" s="115"/>
      <c r="V240" s="115"/>
      <c r="W240" s="115">
        <v>4050</v>
      </c>
      <c r="X240" s="115">
        <v>550</v>
      </c>
      <c r="Y240" s="115"/>
      <c r="Z240" s="115"/>
      <c r="AA240" s="115"/>
      <c r="AB240" s="115"/>
      <c r="AC240" s="115"/>
      <c r="AD240" s="115"/>
      <c r="AE240" s="115"/>
      <c r="AF240" s="291"/>
      <c r="AG240" s="246">
        <v>43315</v>
      </c>
      <c r="AH240" s="133">
        <f>AJ240</f>
        <v>474600</v>
      </c>
      <c r="AI240" s="132">
        <f t="shared" si="75"/>
        <v>474600</v>
      </c>
      <c r="AJ240" s="132">
        <f t="shared" si="76"/>
        <v>474600</v>
      </c>
      <c r="AK240" s="132">
        <f t="shared" si="77"/>
        <v>0</v>
      </c>
      <c r="AL240" s="176"/>
      <c r="AM240" s="133" t="s">
        <v>886</v>
      </c>
      <c r="AN240" s="246">
        <v>44842</v>
      </c>
      <c r="AO240" s="259"/>
    </row>
    <row r="241" s="187" customFormat="1" customHeight="1" spans="1:41">
      <c r="A241" s="115" t="s">
        <v>894</v>
      </c>
      <c r="B241" s="115" t="s">
        <v>892</v>
      </c>
      <c r="C241" s="193" t="s">
        <v>893</v>
      </c>
      <c r="D241" s="193" t="str">
        <f t="shared" si="62"/>
        <v>李梦梦410422198906120029</v>
      </c>
      <c r="E241" s="155" t="s">
        <v>895</v>
      </c>
      <c r="F241" s="115"/>
      <c r="G241" s="115">
        <v>3</v>
      </c>
      <c r="H241" s="115"/>
      <c r="I241" s="115">
        <v>15</v>
      </c>
      <c r="J241" s="115">
        <v>1508</v>
      </c>
      <c r="K241" s="115">
        <v>61.98</v>
      </c>
      <c r="L241" s="115">
        <v>30000</v>
      </c>
      <c r="M241" s="115"/>
      <c r="N241" s="115"/>
      <c r="O241" s="431">
        <v>14924.17</v>
      </c>
      <c r="P241" s="115">
        <f t="shared" si="78"/>
        <v>925000</v>
      </c>
      <c r="Q241" s="115" t="s">
        <v>66</v>
      </c>
      <c r="R241" s="115">
        <v>465000</v>
      </c>
      <c r="S241" s="115"/>
      <c r="T241" s="115">
        <v>460000</v>
      </c>
      <c r="U241" s="115"/>
      <c r="V241" s="115"/>
      <c r="W241" s="115">
        <v>4028</v>
      </c>
      <c r="X241" s="115">
        <v>550</v>
      </c>
      <c r="Y241" s="115"/>
      <c r="Z241" s="115"/>
      <c r="AA241" s="115"/>
      <c r="AB241" s="115"/>
      <c r="AC241" s="115"/>
      <c r="AD241" s="115"/>
      <c r="AE241" s="115"/>
      <c r="AF241" s="291"/>
      <c r="AG241" s="246">
        <v>43315</v>
      </c>
      <c r="AH241" s="133">
        <f>AJ241</f>
        <v>469578</v>
      </c>
      <c r="AI241" s="132">
        <f t="shared" si="75"/>
        <v>469578</v>
      </c>
      <c r="AJ241" s="132">
        <f t="shared" si="76"/>
        <v>469578</v>
      </c>
      <c r="AK241" s="132">
        <f t="shared" si="77"/>
        <v>0</v>
      </c>
      <c r="AL241" s="176"/>
      <c r="AM241" s="133" t="s">
        <v>886</v>
      </c>
      <c r="AN241" s="246">
        <v>44842</v>
      </c>
      <c r="AO241" s="259"/>
    </row>
    <row r="242" s="187" customFormat="1" customHeight="1" spans="1:41">
      <c r="A242" s="115" t="s">
        <v>896</v>
      </c>
      <c r="B242" s="115" t="s">
        <v>897</v>
      </c>
      <c r="C242" s="193" t="s">
        <v>898</v>
      </c>
      <c r="D242" s="193" t="str">
        <f t="shared" si="62"/>
        <v>付惠玲410781195210030423</v>
      </c>
      <c r="E242" s="155" t="s">
        <v>899</v>
      </c>
      <c r="F242" s="115"/>
      <c r="G242" s="115">
        <v>9</v>
      </c>
      <c r="H242" s="115">
        <v>3</v>
      </c>
      <c r="I242" s="115">
        <v>17</v>
      </c>
      <c r="J242" s="115">
        <v>1704</v>
      </c>
      <c r="K242" s="115">
        <v>94.65</v>
      </c>
      <c r="L242" s="115">
        <v>8726</v>
      </c>
      <c r="M242" s="115"/>
      <c r="N242" s="115"/>
      <c r="O242" s="431">
        <v>8625.6</v>
      </c>
      <c r="P242" s="115">
        <f t="shared" si="78"/>
        <v>816413</v>
      </c>
      <c r="Q242" s="115" t="s">
        <v>66</v>
      </c>
      <c r="R242" s="115">
        <v>260010.4</v>
      </c>
      <c r="S242" s="115"/>
      <c r="T242" s="115">
        <v>556402.602290837</v>
      </c>
      <c r="U242" s="115"/>
      <c r="V242" s="115"/>
      <c r="W242" s="115"/>
      <c r="X242" s="115"/>
      <c r="Y242" s="115"/>
      <c r="Z242" s="115"/>
      <c r="AA242" s="115"/>
      <c r="AB242" s="115"/>
      <c r="AC242" s="115"/>
      <c r="AD242" s="115"/>
      <c r="AE242" s="115"/>
      <c r="AF242" s="291"/>
      <c r="AG242" s="246"/>
      <c r="AH242" s="133">
        <f>R242</f>
        <v>260010.4</v>
      </c>
      <c r="AI242" s="132">
        <f t="shared" si="75"/>
        <v>260010.4</v>
      </c>
      <c r="AJ242" s="132">
        <f t="shared" si="76"/>
        <v>260010.4</v>
      </c>
      <c r="AK242" s="132">
        <f t="shared" si="77"/>
        <v>0</v>
      </c>
      <c r="AL242" s="176"/>
      <c r="AM242" s="133" t="s">
        <v>900</v>
      </c>
      <c r="AN242" s="246">
        <v>44842</v>
      </c>
      <c r="AO242" s="259"/>
    </row>
    <row r="243" s="187" customFormat="1" customHeight="1" spans="1:41">
      <c r="A243" s="115" t="s">
        <v>901</v>
      </c>
      <c r="B243" s="115" t="s">
        <v>902</v>
      </c>
      <c r="C243" s="193" t="s">
        <v>903</v>
      </c>
      <c r="D243" s="193" t="str">
        <f t="shared" si="62"/>
        <v>张飞虎410181198507046910</v>
      </c>
      <c r="E243" s="155">
        <v>15903662637</v>
      </c>
      <c r="F243" s="115"/>
      <c r="G243" s="115">
        <v>6</v>
      </c>
      <c r="H243" s="115">
        <v>1</v>
      </c>
      <c r="I243" s="115">
        <v>22</v>
      </c>
      <c r="J243" s="115">
        <v>2208</v>
      </c>
      <c r="K243" s="115">
        <v>109.13</v>
      </c>
      <c r="L243" s="115">
        <v>19780</v>
      </c>
      <c r="M243" s="115"/>
      <c r="N243" s="115"/>
      <c r="O243" s="431">
        <v>16000</v>
      </c>
      <c r="P243" s="115">
        <f t="shared" si="78"/>
        <v>1746080</v>
      </c>
      <c r="Q243" s="115" t="s">
        <v>66</v>
      </c>
      <c r="R243" s="115">
        <v>869080</v>
      </c>
      <c r="S243" s="115"/>
      <c r="T243" s="115" t="s">
        <v>47</v>
      </c>
      <c r="U243" s="115"/>
      <c r="V243" s="115">
        <v>877000</v>
      </c>
      <c r="W243" s="115">
        <v>7093</v>
      </c>
      <c r="X243" s="115">
        <v>80</v>
      </c>
      <c r="Y243" s="115" t="s">
        <v>48</v>
      </c>
      <c r="Z243" s="115"/>
      <c r="AA243" s="115"/>
      <c r="AB243" s="115">
        <v>1368</v>
      </c>
      <c r="AC243" s="115"/>
      <c r="AD243" s="115"/>
      <c r="AE243" s="115"/>
      <c r="AF243" s="291"/>
      <c r="AG243" s="246"/>
      <c r="AH243" s="133">
        <f>R243+W243+X243</f>
        <v>876253</v>
      </c>
      <c r="AI243" s="132">
        <f t="shared" si="75"/>
        <v>1754621</v>
      </c>
      <c r="AJ243" s="132">
        <f t="shared" si="76"/>
        <v>1753253</v>
      </c>
      <c r="AK243" s="132">
        <f t="shared" si="77"/>
        <v>1368</v>
      </c>
      <c r="AL243" s="176"/>
      <c r="AM243" s="133" t="s">
        <v>900</v>
      </c>
      <c r="AN243" s="246">
        <v>44842</v>
      </c>
      <c r="AO243" s="259"/>
    </row>
    <row r="244" s="187" customFormat="1" customHeight="1" spans="1:41">
      <c r="A244" s="115" t="s">
        <v>904</v>
      </c>
      <c r="B244" s="115" t="s">
        <v>905</v>
      </c>
      <c r="C244" s="193" t="s">
        <v>906</v>
      </c>
      <c r="D244" s="193" t="str">
        <f t="shared" si="62"/>
        <v>秦兰册410224198510020322</v>
      </c>
      <c r="E244" s="155" t="s">
        <v>907</v>
      </c>
      <c r="F244" s="115" t="s">
        <v>908</v>
      </c>
      <c r="G244" s="115">
        <v>3</v>
      </c>
      <c r="H244" s="115"/>
      <c r="I244" s="115">
        <v>20</v>
      </c>
      <c r="J244" s="115">
        <v>2025</v>
      </c>
      <c r="K244" s="115">
        <v>66.94</v>
      </c>
      <c r="L244" s="115">
        <v>30000</v>
      </c>
      <c r="M244" s="115"/>
      <c r="N244" s="115"/>
      <c r="O244" s="431">
        <v>14000</v>
      </c>
      <c r="P244" s="115">
        <f t="shared" si="78"/>
        <v>937160</v>
      </c>
      <c r="Q244" s="115" t="s">
        <v>66</v>
      </c>
      <c r="R244" s="115">
        <v>477160</v>
      </c>
      <c r="S244" s="115"/>
      <c r="T244" s="115">
        <v>460000</v>
      </c>
      <c r="U244" s="115"/>
      <c r="V244" s="115"/>
      <c r="W244" s="115">
        <v>4351</v>
      </c>
      <c r="X244" s="115">
        <v>560</v>
      </c>
      <c r="Y244" s="115"/>
      <c r="Z244" s="115"/>
      <c r="AA244" s="115"/>
      <c r="AB244" s="115">
        <v>30000</v>
      </c>
      <c r="AC244" s="115"/>
      <c r="AD244" s="115"/>
      <c r="AE244" s="115"/>
      <c r="AF244" s="291" t="s">
        <v>909</v>
      </c>
      <c r="AG244" s="246">
        <v>43385</v>
      </c>
      <c r="AH244" s="133">
        <f>270000+30000</f>
        <v>300000</v>
      </c>
      <c r="AI244" s="132">
        <f t="shared" si="75"/>
        <v>512071</v>
      </c>
      <c r="AJ244" s="132">
        <f t="shared" si="76"/>
        <v>482071</v>
      </c>
      <c r="AK244" s="132">
        <f t="shared" si="77"/>
        <v>30000</v>
      </c>
      <c r="AL244" s="176" t="s">
        <v>910</v>
      </c>
      <c r="AM244" s="133" t="s">
        <v>886</v>
      </c>
      <c r="AN244" s="246">
        <v>44842</v>
      </c>
      <c r="AO244" s="259"/>
    </row>
    <row r="245" s="187" customFormat="1" customHeight="1" spans="1:41">
      <c r="A245" s="115" t="s">
        <v>911</v>
      </c>
      <c r="B245" s="115" t="s">
        <v>912</v>
      </c>
      <c r="C245" s="193" t="s">
        <v>913</v>
      </c>
      <c r="D245" s="193" t="str">
        <f t="shared" si="62"/>
        <v>白迪410105198209103319</v>
      </c>
      <c r="E245" s="155">
        <v>13112239119</v>
      </c>
      <c r="F245" s="115"/>
      <c r="G245" s="115">
        <v>3</v>
      </c>
      <c r="H245" s="115"/>
      <c r="I245" s="115">
        <v>11</v>
      </c>
      <c r="J245" s="115">
        <v>1128</v>
      </c>
      <c r="K245" s="115">
        <v>64.13</v>
      </c>
      <c r="L245" s="115">
        <v>20000</v>
      </c>
      <c r="M245" s="115"/>
      <c r="N245" s="115"/>
      <c r="O245" s="431">
        <v>9401.26</v>
      </c>
      <c r="P245" s="115">
        <f t="shared" si="78"/>
        <v>602903</v>
      </c>
      <c r="Q245" s="115" t="s">
        <v>66</v>
      </c>
      <c r="R245" s="115">
        <v>302903</v>
      </c>
      <c r="S245" s="115"/>
      <c r="T245" s="115">
        <v>300000</v>
      </c>
      <c r="U245" s="115"/>
      <c r="V245" s="115"/>
      <c r="W245" s="115">
        <v>4168</v>
      </c>
      <c r="X245" s="115">
        <v>550</v>
      </c>
      <c r="Y245" s="115"/>
      <c r="Z245" s="115"/>
      <c r="AA245" s="115"/>
      <c r="AB245" s="115">
        <v>3000</v>
      </c>
      <c r="AC245" s="115"/>
      <c r="AD245" s="115"/>
      <c r="AE245" s="115"/>
      <c r="AF245" s="291"/>
      <c r="AG245" s="246">
        <v>43306</v>
      </c>
      <c r="AH245" s="133"/>
      <c r="AI245" s="132">
        <f t="shared" si="75"/>
        <v>310621</v>
      </c>
      <c r="AJ245" s="132">
        <f t="shared" si="76"/>
        <v>307621</v>
      </c>
      <c r="AK245" s="132">
        <f t="shared" si="77"/>
        <v>3000</v>
      </c>
      <c r="AL245" s="176"/>
      <c r="AM245" s="133" t="s">
        <v>886</v>
      </c>
      <c r="AN245" s="246">
        <v>44842</v>
      </c>
      <c r="AO245" s="259"/>
    </row>
    <row r="246" s="187" customFormat="1" customHeight="1" spans="1:41">
      <c r="A246" s="115" t="s">
        <v>914</v>
      </c>
      <c r="B246" s="115" t="s">
        <v>915</v>
      </c>
      <c r="C246" s="193" t="s">
        <v>916</v>
      </c>
      <c r="D246" s="193" t="str">
        <f t="shared" si="62"/>
        <v>刘晶晶410103198206121922</v>
      </c>
      <c r="E246" s="155" t="s">
        <v>917</v>
      </c>
      <c r="F246" s="115"/>
      <c r="G246" s="115">
        <v>3</v>
      </c>
      <c r="H246" s="115"/>
      <c r="I246" s="115">
        <v>11</v>
      </c>
      <c r="J246" s="115">
        <v>1125</v>
      </c>
      <c r="K246" s="115">
        <v>66.94</v>
      </c>
      <c r="L246" s="115">
        <v>20000</v>
      </c>
      <c r="M246" s="115"/>
      <c r="N246" s="115"/>
      <c r="O246" s="431">
        <v>9138.56</v>
      </c>
      <c r="P246" s="115">
        <f t="shared" si="78"/>
        <v>611735</v>
      </c>
      <c r="Q246" s="115" t="s">
        <v>66</v>
      </c>
      <c r="R246" s="115">
        <v>311735</v>
      </c>
      <c r="S246" s="115"/>
      <c r="T246" s="115">
        <v>300000</v>
      </c>
      <c r="U246" s="115"/>
      <c r="V246" s="115"/>
      <c r="W246" s="115">
        <v>4351</v>
      </c>
      <c r="X246" s="115">
        <v>550</v>
      </c>
      <c r="Y246" s="115"/>
      <c r="Z246" s="115"/>
      <c r="AA246" s="115"/>
      <c r="AB246" s="115">
        <v>3000</v>
      </c>
      <c r="AC246" s="115"/>
      <c r="AD246" s="115"/>
      <c r="AE246" s="115"/>
      <c r="AF246" s="291"/>
      <c r="AG246" s="246">
        <v>43306</v>
      </c>
      <c r="AH246" s="133"/>
      <c r="AI246" s="132">
        <f t="shared" si="75"/>
        <v>319636</v>
      </c>
      <c r="AJ246" s="132">
        <f t="shared" si="76"/>
        <v>316636</v>
      </c>
      <c r="AK246" s="132">
        <f t="shared" si="77"/>
        <v>3000</v>
      </c>
      <c r="AL246" s="176"/>
      <c r="AM246" s="133" t="s">
        <v>886</v>
      </c>
      <c r="AN246" s="246">
        <v>44842</v>
      </c>
      <c r="AO246" s="259"/>
    </row>
    <row r="247" s="187" customFormat="1" customHeight="1" spans="1:41">
      <c r="A247" s="115" t="s">
        <v>918</v>
      </c>
      <c r="B247" s="115" t="s">
        <v>919</v>
      </c>
      <c r="C247" s="193" t="s">
        <v>920</v>
      </c>
      <c r="D247" s="193" t="str">
        <f t="shared" si="62"/>
        <v>王朝杰410422197502112212</v>
      </c>
      <c r="E247" s="155">
        <v>15981991266</v>
      </c>
      <c r="F247" s="115"/>
      <c r="G247" s="115">
        <v>11</v>
      </c>
      <c r="H247" s="115">
        <v>3</v>
      </c>
      <c r="I247" s="115">
        <v>18</v>
      </c>
      <c r="J247" s="115">
        <v>1803</v>
      </c>
      <c r="K247" s="115">
        <v>151.44</v>
      </c>
      <c r="L247" s="115">
        <v>17900</v>
      </c>
      <c r="M247" s="115"/>
      <c r="N247" s="115"/>
      <c r="O247" s="431">
        <v>14500</v>
      </c>
      <c r="P247" s="115">
        <v>2195880</v>
      </c>
      <c r="Q247" s="115" t="s">
        <v>66</v>
      </c>
      <c r="R247" s="115">
        <v>1333715</v>
      </c>
      <c r="S247" s="115"/>
      <c r="T247" s="115">
        <v>862165</v>
      </c>
      <c r="U247" s="115"/>
      <c r="V247" s="115"/>
      <c r="W247" s="115"/>
      <c r="X247" s="115"/>
      <c r="Y247" s="115"/>
      <c r="Z247" s="115"/>
      <c r="AA247" s="115"/>
      <c r="AB247" s="115"/>
      <c r="AC247" s="115"/>
      <c r="AD247" s="115"/>
      <c r="AE247" s="115"/>
      <c r="AF247" s="291"/>
      <c r="AG247" s="246">
        <v>42838</v>
      </c>
      <c r="AH247" s="133">
        <f>AJ247</f>
        <v>1333715</v>
      </c>
      <c r="AI247" s="132">
        <f t="shared" ref="AI247:AI257" si="79">R247+V247+W247+X247+AA247+AB247+AC247+AD247</f>
        <v>1333715</v>
      </c>
      <c r="AJ247" s="132">
        <f t="shared" ref="AJ247:AJ257" si="80">R247+W247+V247+X247+AA247</f>
        <v>1333715</v>
      </c>
      <c r="AK247" s="132">
        <f t="shared" ref="AK247:AK257" si="81">AI247-AJ247</f>
        <v>0</v>
      </c>
      <c r="AL247" s="176" t="s">
        <v>921</v>
      </c>
      <c r="AM247" s="133" t="s">
        <v>886</v>
      </c>
      <c r="AN247" s="246">
        <v>44842</v>
      </c>
      <c r="AO247" s="259"/>
    </row>
    <row r="248" s="187" customFormat="1" customHeight="1" spans="1:41">
      <c r="A248" s="115" t="s">
        <v>922</v>
      </c>
      <c r="B248" s="115" t="s">
        <v>923</v>
      </c>
      <c r="C248" s="193" t="s">
        <v>924</v>
      </c>
      <c r="D248" s="193" t="str">
        <f t="shared" si="62"/>
        <v>骆俊411523198708210421</v>
      </c>
      <c r="E248" s="155" t="s">
        <v>925</v>
      </c>
      <c r="F248" s="115"/>
      <c r="G248" s="115">
        <v>6</v>
      </c>
      <c r="H248" s="115">
        <v>1</v>
      </c>
      <c r="I248" s="115">
        <v>19</v>
      </c>
      <c r="J248" s="115">
        <v>1907</v>
      </c>
      <c r="K248" s="115">
        <v>86.33</v>
      </c>
      <c r="L248" s="115">
        <v>17900</v>
      </c>
      <c r="M248" s="115"/>
      <c r="N248" s="115"/>
      <c r="O248" s="431">
        <v>15000</v>
      </c>
      <c r="P248" s="115">
        <f>ROUND(O248*K248,0)</f>
        <v>1294950</v>
      </c>
      <c r="Q248" s="115" t="s">
        <v>66</v>
      </c>
      <c r="R248" s="115">
        <v>894950</v>
      </c>
      <c r="S248" s="115"/>
      <c r="T248" s="115" t="s">
        <v>47</v>
      </c>
      <c r="U248" s="115"/>
      <c r="V248" s="115">
        <v>400000</v>
      </c>
      <c r="W248" s="115">
        <v>5611</v>
      </c>
      <c r="X248" s="115">
        <v>80</v>
      </c>
      <c r="Y248" s="115" t="s">
        <v>48</v>
      </c>
      <c r="Z248" s="115"/>
      <c r="AA248" s="115"/>
      <c r="AB248" s="115">
        <f>1590</f>
        <v>1590</v>
      </c>
      <c r="AC248" s="115"/>
      <c r="AD248" s="115"/>
      <c r="AE248" s="115"/>
      <c r="AF248" s="291"/>
      <c r="AG248" s="246"/>
      <c r="AH248" s="133">
        <f>R248+W248+X248</f>
        <v>900641</v>
      </c>
      <c r="AI248" s="132">
        <f t="shared" si="79"/>
        <v>1302231</v>
      </c>
      <c r="AJ248" s="132">
        <f t="shared" si="80"/>
        <v>1300641</v>
      </c>
      <c r="AK248" s="132">
        <f t="shared" si="81"/>
        <v>1590</v>
      </c>
      <c r="AL248" s="176"/>
      <c r="AM248" s="133" t="s">
        <v>900</v>
      </c>
      <c r="AN248" s="246">
        <v>44842</v>
      </c>
      <c r="AO248" s="259"/>
    </row>
    <row r="249" s="187" customFormat="1" customHeight="1" spans="1:41">
      <c r="A249" s="115" t="s">
        <v>926</v>
      </c>
      <c r="B249" s="115" t="s">
        <v>927</v>
      </c>
      <c r="C249" s="193" t="s">
        <v>928</v>
      </c>
      <c r="D249" s="193" t="str">
        <f t="shared" si="62"/>
        <v>陈荣花41010519580222752X</v>
      </c>
      <c r="E249" s="155">
        <v>13683712589</v>
      </c>
      <c r="F249" s="115"/>
      <c r="G249" s="115">
        <v>3</v>
      </c>
      <c r="H249" s="115"/>
      <c r="I249" s="115">
        <v>11</v>
      </c>
      <c r="J249" s="115">
        <v>1115</v>
      </c>
      <c r="K249" s="115">
        <v>69.88</v>
      </c>
      <c r="L249" s="115">
        <v>20000</v>
      </c>
      <c r="M249" s="115"/>
      <c r="N249" s="115"/>
      <c r="O249" s="431">
        <v>8709.96</v>
      </c>
      <c r="P249" s="115">
        <f>ROUND(O249*K249,0)</f>
        <v>608652</v>
      </c>
      <c r="Q249" s="115" t="s">
        <v>56</v>
      </c>
      <c r="R249" s="115">
        <v>608652</v>
      </c>
      <c r="S249" s="115"/>
      <c r="T249" s="115" t="s">
        <v>47</v>
      </c>
      <c r="U249" s="115"/>
      <c r="V249" s="115"/>
      <c r="W249" s="115">
        <v>4542</v>
      </c>
      <c r="X249" s="115">
        <v>550</v>
      </c>
      <c r="Y249" s="115" t="s">
        <v>48</v>
      </c>
      <c r="Z249" s="115"/>
      <c r="AA249" s="115"/>
      <c r="AB249" s="115">
        <v>3000</v>
      </c>
      <c r="AC249" s="115"/>
      <c r="AD249" s="115"/>
      <c r="AE249" s="115"/>
      <c r="AF249" s="291"/>
      <c r="AG249" s="246"/>
      <c r="AH249" s="133"/>
      <c r="AI249" s="132">
        <f t="shared" si="79"/>
        <v>616744</v>
      </c>
      <c r="AJ249" s="132">
        <f t="shared" si="80"/>
        <v>613744</v>
      </c>
      <c r="AK249" s="132">
        <f t="shared" si="81"/>
        <v>3000</v>
      </c>
      <c r="AL249" s="176"/>
      <c r="AM249" s="133" t="s">
        <v>900</v>
      </c>
      <c r="AN249" s="246">
        <v>44842</v>
      </c>
      <c r="AO249" s="259"/>
    </row>
    <row r="250" s="187" customFormat="1" customHeight="1" spans="1:41">
      <c r="A250" s="115" t="s">
        <v>929</v>
      </c>
      <c r="B250" s="115" t="s">
        <v>930</v>
      </c>
      <c r="C250" s="193" t="s">
        <v>931</v>
      </c>
      <c r="D250" s="193" t="str">
        <f t="shared" si="62"/>
        <v>赵建武410105195301061613</v>
      </c>
      <c r="E250" s="155" t="s">
        <v>932</v>
      </c>
      <c r="F250" s="115"/>
      <c r="G250" s="115">
        <v>10</v>
      </c>
      <c r="H250" s="115">
        <v>2</v>
      </c>
      <c r="I250" s="115">
        <v>8</v>
      </c>
      <c r="J250" s="115">
        <v>806</v>
      </c>
      <c r="K250" s="115">
        <v>99.52</v>
      </c>
      <c r="L250" s="115">
        <v>9100</v>
      </c>
      <c r="M250" s="115"/>
      <c r="N250" s="115"/>
      <c r="O250" s="431">
        <v>9000</v>
      </c>
      <c r="P250" s="115">
        <v>895680</v>
      </c>
      <c r="Q250" s="115" t="s">
        <v>56</v>
      </c>
      <c r="R250" s="115">
        <v>895680</v>
      </c>
      <c r="S250" s="115"/>
      <c r="T250" s="115" t="s">
        <v>47</v>
      </c>
      <c r="U250" s="115"/>
      <c r="V250" s="115"/>
      <c r="W250" s="115">
        <v>6468</v>
      </c>
      <c r="X250" s="115">
        <v>80</v>
      </c>
      <c r="Y250" s="115"/>
      <c r="Z250" s="115" t="s">
        <v>48</v>
      </c>
      <c r="AA250" s="115"/>
      <c r="AB250" s="115"/>
      <c r="AC250" s="115"/>
      <c r="AD250" s="115"/>
      <c r="AE250" s="115"/>
      <c r="AF250" s="291"/>
      <c r="AG250" s="246"/>
      <c r="AH250" s="133">
        <f>305680+W250+X250</f>
        <v>312228</v>
      </c>
      <c r="AI250" s="132">
        <f t="shared" si="79"/>
        <v>902228</v>
      </c>
      <c r="AJ250" s="132">
        <f t="shared" si="80"/>
        <v>902228</v>
      </c>
      <c r="AK250" s="132">
        <f t="shared" si="81"/>
        <v>0</v>
      </c>
      <c r="AL250" s="176"/>
      <c r="AM250" s="133" t="s">
        <v>900</v>
      </c>
      <c r="AN250" s="246">
        <v>44842</v>
      </c>
      <c r="AO250" s="259"/>
    </row>
    <row r="251" s="187" customFormat="1" customHeight="1" spans="1:41">
      <c r="A251" s="115" t="s">
        <v>933</v>
      </c>
      <c r="B251" s="115" t="s">
        <v>934</v>
      </c>
      <c r="C251" s="546" t="s">
        <v>935</v>
      </c>
      <c r="D251" s="193" t="str">
        <f t="shared" si="62"/>
        <v>王水平412723197502112145</v>
      </c>
      <c r="E251" s="155">
        <v>18638796362</v>
      </c>
      <c r="F251" s="115" t="s">
        <v>936</v>
      </c>
      <c r="G251" s="115">
        <v>10</v>
      </c>
      <c r="H251" s="115">
        <v>2</v>
      </c>
      <c r="I251" s="115">
        <v>23</v>
      </c>
      <c r="J251" s="115">
        <v>2306</v>
      </c>
      <c r="K251" s="115">
        <v>99.52</v>
      </c>
      <c r="L251" s="115">
        <v>8300</v>
      </c>
      <c r="M251" s="115"/>
      <c r="N251" s="115"/>
      <c r="O251" s="431">
        <v>8200</v>
      </c>
      <c r="P251" s="115">
        <v>816064</v>
      </c>
      <c r="Q251" s="115" t="s">
        <v>56</v>
      </c>
      <c r="R251" s="115">
        <v>816064</v>
      </c>
      <c r="S251" s="115"/>
      <c r="T251" s="115">
        <v>0</v>
      </c>
      <c r="U251" s="115"/>
      <c r="V251" s="115"/>
      <c r="W251" s="115">
        <v>6468</v>
      </c>
      <c r="X251" s="115">
        <v>80</v>
      </c>
      <c r="Y251" s="115"/>
      <c r="Z251" s="115" t="s">
        <v>48</v>
      </c>
      <c r="AA251" s="115"/>
      <c r="AB251" s="115"/>
      <c r="AC251" s="115"/>
      <c r="AD251" s="115"/>
      <c r="AE251" s="115"/>
      <c r="AF251" s="291"/>
      <c r="AG251" s="246"/>
      <c r="AH251" s="133"/>
      <c r="AI251" s="132">
        <f t="shared" si="79"/>
        <v>822612</v>
      </c>
      <c r="AJ251" s="132">
        <f t="shared" si="80"/>
        <v>822612</v>
      </c>
      <c r="AK251" s="132">
        <f t="shared" si="81"/>
        <v>0</v>
      </c>
      <c r="AL251" s="176"/>
      <c r="AM251" s="133" t="s">
        <v>900</v>
      </c>
      <c r="AN251" s="246">
        <v>44842</v>
      </c>
      <c r="AO251" s="259"/>
    </row>
    <row r="252" s="187" customFormat="1" customHeight="1" spans="1:41">
      <c r="A252" s="115" t="s">
        <v>937</v>
      </c>
      <c r="B252" s="115" t="s">
        <v>938</v>
      </c>
      <c r="C252" s="193" t="s">
        <v>939</v>
      </c>
      <c r="D252" s="193" t="str">
        <f t="shared" si="62"/>
        <v>李燕红410901197612254022</v>
      </c>
      <c r="E252" s="155" t="s">
        <v>940</v>
      </c>
      <c r="F252" s="115"/>
      <c r="G252" s="115">
        <v>3</v>
      </c>
      <c r="H252" s="115">
        <v>12</v>
      </c>
      <c r="I252" s="115"/>
      <c r="J252" s="115">
        <v>1205</v>
      </c>
      <c r="K252" s="115">
        <v>59.91</v>
      </c>
      <c r="L252" s="115">
        <v>20000</v>
      </c>
      <c r="M252" s="115"/>
      <c r="N252" s="115"/>
      <c r="O252" s="431">
        <v>9460.51</v>
      </c>
      <c r="P252" s="115">
        <v>566779</v>
      </c>
      <c r="Q252" s="115" t="s">
        <v>66</v>
      </c>
      <c r="R252" s="115">
        <v>286779</v>
      </c>
      <c r="S252" s="115"/>
      <c r="T252" s="115" t="s">
        <v>47</v>
      </c>
      <c r="U252" s="115"/>
      <c r="V252" s="115">
        <v>280000</v>
      </c>
      <c r="W252" s="115">
        <v>3894</v>
      </c>
      <c r="X252" s="115">
        <v>550</v>
      </c>
      <c r="Y252" s="115"/>
      <c r="Z252" s="115" t="s">
        <v>48</v>
      </c>
      <c r="AA252" s="115"/>
      <c r="AB252" s="115"/>
      <c r="AC252" s="115"/>
      <c r="AD252" s="115"/>
      <c r="AE252" s="115"/>
      <c r="AF252" s="291"/>
      <c r="AG252" s="246"/>
      <c r="AH252" s="133">
        <f>R252+W252+X252</f>
        <v>291223</v>
      </c>
      <c r="AI252" s="132">
        <f t="shared" si="79"/>
        <v>571223</v>
      </c>
      <c r="AJ252" s="132">
        <f t="shared" si="80"/>
        <v>571223</v>
      </c>
      <c r="AK252" s="132">
        <f t="shared" si="81"/>
        <v>0</v>
      </c>
      <c r="AL252" s="176"/>
      <c r="AM252" s="133" t="s">
        <v>900</v>
      </c>
      <c r="AN252" s="246">
        <v>44842</v>
      </c>
      <c r="AO252" s="259"/>
    </row>
    <row r="253" s="187" customFormat="1" customHeight="1" spans="1:41">
      <c r="A253" s="115" t="s">
        <v>941</v>
      </c>
      <c r="B253" s="115" t="s">
        <v>942</v>
      </c>
      <c r="C253" s="193" t="s">
        <v>943</v>
      </c>
      <c r="D253" s="193" t="str">
        <f t="shared" si="62"/>
        <v>梁恩建410105196103100516</v>
      </c>
      <c r="E253" s="155">
        <v>13939065687</v>
      </c>
      <c r="F253" s="115"/>
      <c r="G253" s="115">
        <v>9</v>
      </c>
      <c r="H253" s="115">
        <v>3</v>
      </c>
      <c r="I253" s="115">
        <v>7</v>
      </c>
      <c r="J253" s="115">
        <v>704</v>
      </c>
      <c r="K253" s="115">
        <v>94.65</v>
      </c>
      <c r="L253" s="115">
        <v>12700</v>
      </c>
      <c r="M253" s="115"/>
      <c r="N253" s="115"/>
      <c r="O253" s="431">
        <v>12600</v>
      </c>
      <c r="P253" s="115">
        <v>1192590</v>
      </c>
      <c r="Q253" s="115" t="s">
        <v>56</v>
      </c>
      <c r="R253" s="115">
        <v>1258808</v>
      </c>
      <c r="S253" s="115">
        <v>-66218</v>
      </c>
      <c r="T253" s="115" t="s">
        <v>47</v>
      </c>
      <c r="U253" s="115"/>
      <c r="V253" s="115"/>
      <c r="W253" s="115">
        <v>6152</v>
      </c>
      <c r="X253" s="115">
        <v>80</v>
      </c>
      <c r="Y253" s="115"/>
      <c r="Z253" s="115" t="s">
        <v>48</v>
      </c>
      <c r="AA253" s="115"/>
      <c r="AB253" s="115"/>
      <c r="AC253" s="115"/>
      <c r="AD253" s="115"/>
      <c r="AE253" s="115"/>
      <c r="AF253" s="291"/>
      <c r="AG253" s="246">
        <v>43973</v>
      </c>
      <c r="AH253" s="133"/>
      <c r="AI253" s="132">
        <f t="shared" si="79"/>
        <v>1265040</v>
      </c>
      <c r="AJ253" s="132">
        <f t="shared" si="80"/>
        <v>1265040</v>
      </c>
      <c r="AK253" s="132">
        <f t="shared" si="81"/>
        <v>0</v>
      </c>
      <c r="AL253" s="176"/>
      <c r="AM253" s="133" t="s">
        <v>854</v>
      </c>
      <c r="AN253" s="246">
        <v>44842</v>
      </c>
      <c r="AO253" s="259"/>
    </row>
    <row r="254" s="187" customFormat="1" customHeight="1" spans="1:41">
      <c r="A254" s="115" t="s">
        <v>944</v>
      </c>
      <c r="B254" s="115" t="s">
        <v>945</v>
      </c>
      <c r="C254" s="193"/>
      <c r="D254" s="193" t="str">
        <f t="shared" si="62"/>
        <v>马浩</v>
      </c>
      <c r="E254" s="155">
        <v>18937160390</v>
      </c>
      <c r="F254" s="115"/>
      <c r="G254" s="115">
        <v>3</v>
      </c>
      <c r="H254" s="115"/>
      <c r="I254" s="115">
        <v>16</v>
      </c>
      <c r="J254" s="115">
        <v>1614</v>
      </c>
      <c r="K254" s="115">
        <v>75.81</v>
      </c>
      <c r="L254" s="115">
        <v>30000</v>
      </c>
      <c r="M254" s="115">
        <v>14000</v>
      </c>
      <c r="N254" s="115">
        <v>1061340</v>
      </c>
      <c r="O254" s="431"/>
      <c r="P254" s="115"/>
      <c r="Q254" s="115"/>
      <c r="R254" s="115">
        <v>680000</v>
      </c>
      <c r="S254" s="115"/>
      <c r="T254" s="115"/>
      <c r="U254" s="115"/>
      <c r="V254" s="115"/>
      <c r="W254" s="115"/>
      <c r="X254" s="115"/>
      <c r="Y254" s="115"/>
      <c r="Z254" s="115"/>
      <c r="AA254" s="115"/>
      <c r="AB254" s="115"/>
      <c r="AC254" s="115"/>
      <c r="AD254" s="115"/>
      <c r="AE254" s="115"/>
      <c r="AF254" s="291"/>
      <c r="AG254" s="246">
        <v>43592</v>
      </c>
      <c r="AH254" s="133"/>
      <c r="AI254" s="132">
        <f t="shared" si="79"/>
        <v>680000</v>
      </c>
      <c r="AJ254" s="132">
        <f t="shared" si="80"/>
        <v>680000</v>
      </c>
      <c r="AK254" s="132">
        <f t="shared" si="81"/>
        <v>0</v>
      </c>
      <c r="AL254" s="291" t="s">
        <v>946</v>
      </c>
      <c r="AM254" s="133" t="s">
        <v>854</v>
      </c>
      <c r="AN254" s="246">
        <v>44842</v>
      </c>
      <c r="AO254" s="259"/>
    </row>
    <row r="255" s="187" customFormat="1" customHeight="1" spans="1:41">
      <c r="A255" s="115" t="s">
        <v>947</v>
      </c>
      <c r="B255" s="115" t="s">
        <v>948</v>
      </c>
      <c r="C255" s="193" t="s">
        <v>949</v>
      </c>
      <c r="D255" s="193" t="str">
        <f t="shared" si="62"/>
        <v>金现英410108195906151522</v>
      </c>
      <c r="E255" s="155">
        <v>18838017539</v>
      </c>
      <c r="F255" s="115"/>
      <c r="G255" s="115">
        <v>3</v>
      </c>
      <c r="H255" s="115"/>
      <c r="I255" s="115">
        <v>14</v>
      </c>
      <c r="J255" s="115">
        <v>1414</v>
      </c>
      <c r="K255" s="115">
        <v>75.81</v>
      </c>
      <c r="L255" s="115">
        <v>20000</v>
      </c>
      <c r="M255" s="115"/>
      <c r="N255" s="115"/>
      <c r="O255" s="431">
        <v>8537.5539004312</v>
      </c>
      <c r="P255" s="115">
        <v>647232</v>
      </c>
      <c r="Q255" s="115" t="s">
        <v>56</v>
      </c>
      <c r="R255" s="115">
        <v>647902</v>
      </c>
      <c r="S255" s="115">
        <v>-670</v>
      </c>
      <c r="T255" s="115" t="s">
        <v>47</v>
      </c>
      <c r="U255" s="115"/>
      <c r="V255" s="115"/>
      <c r="W255" s="115">
        <v>4927</v>
      </c>
      <c r="X255" s="115">
        <v>550</v>
      </c>
      <c r="Y255" s="115" t="s">
        <v>48</v>
      </c>
      <c r="Z255" s="115"/>
      <c r="AA255" s="115"/>
      <c r="AB255" s="115">
        <v>3000</v>
      </c>
      <c r="AC255" s="115"/>
      <c r="AD255" s="115"/>
      <c r="AE255" s="115"/>
      <c r="AF255" s="291"/>
      <c r="AG255" s="246">
        <v>44017</v>
      </c>
      <c r="AH255" s="133"/>
      <c r="AI255" s="132">
        <f t="shared" si="79"/>
        <v>656379</v>
      </c>
      <c r="AJ255" s="132">
        <f t="shared" si="80"/>
        <v>653379</v>
      </c>
      <c r="AK255" s="132">
        <f t="shared" si="81"/>
        <v>3000</v>
      </c>
      <c r="AL255" s="176" t="s">
        <v>950</v>
      </c>
      <c r="AM255" s="133" t="s">
        <v>854</v>
      </c>
      <c r="AN255" s="246">
        <v>44842</v>
      </c>
      <c r="AO255" s="259"/>
    </row>
    <row r="256" s="187" customFormat="1" customHeight="1" spans="1:41">
      <c r="A256" s="115" t="s">
        <v>951</v>
      </c>
      <c r="B256" s="115" t="s">
        <v>952</v>
      </c>
      <c r="C256" s="193"/>
      <c r="D256" s="193" t="str">
        <f t="shared" si="62"/>
        <v>王向阳</v>
      </c>
      <c r="E256" s="155" t="s">
        <v>953</v>
      </c>
      <c r="F256" s="115"/>
      <c r="G256" s="115">
        <v>3</v>
      </c>
      <c r="H256" s="115"/>
      <c r="I256" s="115">
        <v>8</v>
      </c>
      <c r="J256" s="115">
        <v>824</v>
      </c>
      <c r="K256" s="115">
        <v>58.01</v>
      </c>
      <c r="L256" s="115">
        <v>20000</v>
      </c>
      <c r="M256" s="115"/>
      <c r="N256" s="115"/>
      <c r="O256" s="431">
        <v>9425.72</v>
      </c>
      <c r="P256" s="115">
        <v>546786</v>
      </c>
      <c r="Q256" s="115" t="s">
        <v>66</v>
      </c>
      <c r="R256" s="115">
        <v>276786</v>
      </c>
      <c r="S256" s="115"/>
      <c r="T256" s="115">
        <v>270000</v>
      </c>
      <c r="U256" s="115"/>
      <c r="V256" s="115"/>
      <c r="W256" s="115">
        <v>3770</v>
      </c>
      <c r="X256" s="115">
        <v>550</v>
      </c>
      <c r="Y256" s="115" t="s">
        <v>48</v>
      </c>
      <c r="Z256" s="115"/>
      <c r="AA256" s="115"/>
      <c r="AB256" s="115">
        <v>1280</v>
      </c>
      <c r="AC256" s="115"/>
      <c r="AD256" s="115"/>
      <c r="AE256" s="115"/>
      <c r="AF256" s="291"/>
      <c r="AG256" s="246">
        <v>43087</v>
      </c>
      <c r="AH256" s="133">
        <v>281106</v>
      </c>
      <c r="AI256" s="132">
        <f t="shared" si="79"/>
        <v>282386</v>
      </c>
      <c r="AJ256" s="132">
        <f t="shared" si="80"/>
        <v>281106</v>
      </c>
      <c r="AK256" s="132">
        <f t="shared" si="81"/>
        <v>1280</v>
      </c>
      <c r="AL256" s="176"/>
      <c r="AM256" s="133" t="s">
        <v>854</v>
      </c>
      <c r="AN256" s="246">
        <v>44842</v>
      </c>
      <c r="AO256" s="259"/>
    </row>
    <row r="257" s="187" customFormat="1" customHeight="1" spans="1:41">
      <c r="A257" s="115" t="s">
        <v>954</v>
      </c>
      <c r="B257" s="115" t="s">
        <v>955</v>
      </c>
      <c r="C257" s="193"/>
      <c r="D257" s="193" t="str">
        <f t="shared" si="62"/>
        <v>李立</v>
      </c>
      <c r="E257" s="155" t="s">
        <v>956</v>
      </c>
      <c r="F257" s="115"/>
      <c r="G257" s="115">
        <v>3</v>
      </c>
      <c r="H257" s="115"/>
      <c r="I257" s="115">
        <v>21</v>
      </c>
      <c r="J257" s="115">
        <v>2125</v>
      </c>
      <c r="K257" s="115">
        <v>66.94</v>
      </c>
      <c r="L257" s="115">
        <v>20000</v>
      </c>
      <c r="M257" s="115"/>
      <c r="N257" s="115"/>
      <c r="O257" s="431">
        <v>10500</v>
      </c>
      <c r="P257" s="115">
        <v>702870</v>
      </c>
      <c r="Q257" s="115" t="s">
        <v>56</v>
      </c>
      <c r="R257" s="115">
        <v>702870</v>
      </c>
      <c r="S257" s="115"/>
      <c r="T257" s="115" t="s">
        <v>47</v>
      </c>
      <c r="U257" s="115"/>
      <c r="V257" s="115"/>
      <c r="W257" s="115">
        <v>4351</v>
      </c>
      <c r="X257" s="115">
        <v>550</v>
      </c>
      <c r="Y257" s="115" t="s">
        <v>48</v>
      </c>
      <c r="Z257" s="115"/>
      <c r="AA257" s="115"/>
      <c r="AB257" s="115"/>
      <c r="AC257" s="115"/>
      <c r="AD257" s="115"/>
      <c r="AE257" s="115"/>
      <c r="AF257" s="291"/>
      <c r="AG257" s="246">
        <v>43838</v>
      </c>
      <c r="AH257" s="133"/>
      <c r="AI257" s="132">
        <f t="shared" si="79"/>
        <v>707771</v>
      </c>
      <c r="AJ257" s="132">
        <f t="shared" si="80"/>
        <v>707771</v>
      </c>
      <c r="AK257" s="132">
        <f t="shared" si="81"/>
        <v>0</v>
      </c>
      <c r="AL257" s="176"/>
      <c r="AM257" s="133" t="s">
        <v>854</v>
      </c>
      <c r="AN257" s="246">
        <v>44842</v>
      </c>
      <c r="AO257" s="259"/>
    </row>
    <row r="258" s="187" customFormat="1" customHeight="1" spans="1:41">
      <c r="A258" s="115" t="s">
        <v>957</v>
      </c>
      <c r="B258" s="115" t="s">
        <v>958</v>
      </c>
      <c r="C258" s="193" t="s">
        <v>959</v>
      </c>
      <c r="D258" s="193" t="str">
        <f t="shared" si="62"/>
        <v>董德臣410125197003281057</v>
      </c>
      <c r="E258" s="155" t="s">
        <v>960</v>
      </c>
      <c r="F258" s="115"/>
      <c r="G258" s="115">
        <v>3</v>
      </c>
      <c r="H258" s="115">
        <v>17</v>
      </c>
      <c r="I258" s="115"/>
      <c r="J258" s="115">
        <v>1704</v>
      </c>
      <c r="K258" s="115">
        <v>56.57</v>
      </c>
      <c r="L258" s="115">
        <v>20000</v>
      </c>
      <c r="M258" s="115"/>
      <c r="N258" s="115"/>
      <c r="O258" s="431">
        <v>13740</v>
      </c>
      <c r="P258" s="115">
        <v>777272</v>
      </c>
      <c r="Q258" s="115" t="s">
        <v>56</v>
      </c>
      <c r="R258" s="115">
        <v>777272</v>
      </c>
      <c r="S258" s="115"/>
      <c r="T258" s="115" t="s">
        <v>47</v>
      </c>
      <c r="U258" s="115"/>
      <c r="V258" s="115"/>
      <c r="W258" s="115">
        <v>3677</v>
      </c>
      <c r="X258" s="115">
        <v>550</v>
      </c>
      <c r="Y258" s="115"/>
      <c r="Z258" s="115" t="s">
        <v>48</v>
      </c>
      <c r="AA258" s="115"/>
      <c r="AB258" s="115"/>
      <c r="AC258" s="115"/>
      <c r="AD258" s="115"/>
      <c r="AE258" s="115"/>
      <c r="AF258" s="291"/>
      <c r="AG258" s="246"/>
      <c r="AH258" s="133">
        <f>W258+X258</f>
        <v>4227</v>
      </c>
      <c r="AI258" s="132">
        <f t="shared" ref="AI258:AI264" si="82">R258+V258+W258+X258+AA258+AB258+AC258+AD258</f>
        <v>781499</v>
      </c>
      <c r="AJ258" s="132">
        <f t="shared" ref="AJ258:AJ264" si="83">R258+W258+V258+X258+AA258</f>
        <v>781499</v>
      </c>
      <c r="AK258" s="132">
        <f t="shared" ref="AK258:AK264" si="84">AI258-AJ258</f>
        <v>0</v>
      </c>
      <c r="AL258" s="176"/>
      <c r="AM258" s="133" t="s">
        <v>900</v>
      </c>
      <c r="AN258" s="246">
        <v>44842</v>
      </c>
      <c r="AO258" s="259"/>
    </row>
    <row r="259" s="187" customFormat="1" customHeight="1" spans="1:41">
      <c r="A259" s="115" t="s">
        <v>961</v>
      </c>
      <c r="B259" s="115" t="s">
        <v>962</v>
      </c>
      <c r="C259" s="193" t="s">
        <v>963</v>
      </c>
      <c r="D259" s="193" t="str">
        <f t="shared" ref="D259:D322" si="85">B259&amp;C259</f>
        <v>贾国强410105197612131016</v>
      </c>
      <c r="E259" s="155" t="s">
        <v>964</v>
      </c>
      <c r="F259" s="115" t="s">
        <v>965</v>
      </c>
      <c r="G259" s="115">
        <v>9</v>
      </c>
      <c r="H259" s="115">
        <v>3</v>
      </c>
      <c r="I259" s="115">
        <v>4</v>
      </c>
      <c r="J259" s="115">
        <v>401</v>
      </c>
      <c r="K259" s="115">
        <v>92.61</v>
      </c>
      <c r="L259" s="115">
        <v>8600</v>
      </c>
      <c r="M259" s="115"/>
      <c r="N259" s="115"/>
      <c r="O259" s="431">
        <v>8500</v>
      </c>
      <c r="P259" s="115">
        <v>787185</v>
      </c>
      <c r="Q259" s="115" t="s">
        <v>56</v>
      </c>
      <c r="R259" s="115">
        <v>793751</v>
      </c>
      <c r="S259" s="115">
        <v>-6566</v>
      </c>
      <c r="T259" s="115" t="s">
        <v>47</v>
      </c>
      <c r="U259" s="115"/>
      <c r="V259" s="115"/>
      <c r="W259" s="115">
        <v>6019</v>
      </c>
      <c r="X259" s="115">
        <v>80</v>
      </c>
      <c r="Y259" s="115"/>
      <c r="Z259" s="115" t="s">
        <v>48</v>
      </c>
      <c r="AA259" s="115"/>
      <c r="AB259" s="115"/>
      <c r="AC259" s="115"/>
      <c r="AD259" s="115"/>
      <c r="AE259" s="115"/>
      <c r="AF259" s="291"/>
      <c r="AG259" s="246"/>
      <c r="AH259" s="133"/>
      <c r="AI259" s="132">
        <f t="shared" si="82"/>
        <v>799850</v>
      </c>
      <c r="AJ259" s="132">
        <f t="shared" si="83"/>
        <v>799850</v>
      </c>
      <c r="AK259" s="132">
        <f t="shared" si="84"/>
        <v>0</v>
      </c>
      <c r="AL259" s="176" t="s">
        <v>966</v>
      </c>
      <c r="AM259" s="133" t="s">
        <v>900</v>
      </c>
      <c r="AN259" s="246">
        <v>44842</v>
      </c>
      <c r="AO259" s="259"/>
    </row>
    <row r="260" s="187" customFormat="1" customHeight="1" spans="1:41">
      <c r="A260" s="115" t="s">
        <v>967</v>
      </c>
      <c r="B260" s="115" t="s">
        <v>968</v>
      </c>
      <c r="C260" s="193" t="s">
        <v>969</v>
      </c>
      <c r="D260" s="193" t="str">
        <f t="shared" si="85"/>
        <v>张曼410105197003220020</v>
      </c>
      <c r="E260" s="155">
        <v>15038100833</v>
      </c>
      <c r="F260" s="115"/>
      <c r="G260" s="115">
        <v>9</v>
      </c>
      <c r="H260" s="115">
        <v>3</v>
      </c>
      <c r="I260" s="115">
        <v>19</v>
      </c>
      <c r="J260" s="115">
        <v>1901</v>
      </c>
      <c r="K260" s="115">
        <v>93.4</v>
      </c>
      <c r="L260" s="115">
        <v>8782</v>
      </c>
      <c r="M260" s="115"/>
      <c r="N260" s="115"/>
      <c r="O260" s="431">
        <v>8681.62</v>
      </c>
      <c r="P260" s="115">
        <v>810861</v>
      </c>
      <c r="Q260" s="115" t="s">
        <v>66</v>
      </c>
      <c r="R260" s="115">
        <v>250861</v>
      </c>
      <c r="S260" s="115"/>
      <c r="T260" s="115">
        <v>560000</v>
      </c>
      <c r="U260" s="115"/>
      <c r="V260" s="115"/>
      <c r="W260" s="115">
        <v>6071</v>
      </c>
      <c r="X260" s="115">
        <v>80</v>
      </c>
      <c r="Y260" s="115"/>
      <c r="Z260" s="115"/>
      <c r="AA260" s="115"/>
      <c r="AB260" s="115">
        <v>1136</v>
      </c>
      <c r="AC260" s="115"/>
      <c r="AD260" s="115"/>
      <c r="AE260" s="115"/>
      <c r="AF260" s="291"/>
      <c r="AG260" s="246"/>
      <c r="AH260" s="133">
        <f>R260+W260+X260</f>
        <v>257012</v>
      </c>
      <c r="AI260" s="132">
        <f t="shared" si="82"/>
        <v>258148</v>
      </c>
      <c r="AJ260" s="132">
        <f t="shared" si="83"/>
        <v>257012</v>
      </c>
      <c r="AK260" s="132">
        <f t="shared" si="84"/>
        <v>1136</v>
      </c>
      <c r="AL260" s="176"/>
      <c r="AM260" s="133" t="s">
        <v>900</v>
      </c>
      <c r="AN260" s="246">
        <v>44842</v>
      </c>
      <c r="AO260" s="259"/>
    </row>
    <row r="261" s="187" customFormat="1" customHeight="1" spans="1:41">
      <c r="A261" s="115" t="s">
        <v>970</v>
      </c>
      <c r="B261" s="115" t="s">
        <v>971</v>
      </c>
      <c r="C261" s="193" t="s">
        <v>972</v>
      </c>
      <c r="D261" s="193" t="str">
        <f t="shared" si="85"/>
        <v>史军伟410425198404076514</v>
      </c>
      <c r="E261" s="155" t="s">
        <v>973</v>
      </c>
      <c r="F261" s="115"/>
      <c r="G261" s="115">
        <v>2</v>
      </c>
      <c r="H261" s="115"/>
      <c r="I261" s="115">
        <v>20</v>
      </c>
      <c r="J261" s="115">
        <v>2003</v>
      </c>
      <c r="K261" s="115">
        <v>47.97</v>
      </c>
      <c r="L261" s="115">
        <v>30000</v>
      </c>
      <c r="M261" s="115"/>
      <c r="N261" s="115"/>
      <c r="O261" s="431">
        <v>14696.44</v>
      </c>
      <c r="P261" s="115">
        <v>704988</v>
      </c>
      <c r="Q261" s="115" t="s">
        <v>66</v>
      </c>
      <c r="R261" s="115">
        <v>254988</v>
      </c>
      <c r="S261" s="115"/>
      <c r="T261" s="115"/>
      <c r="U261" s="115">
        <v>450000</v>
      </c>
      <c r="V261" s="115"/>
      <c r="W261" s="115">
        <v>3118</v>
      </c>
      <c r="X261" s="115">
        <v>550</v>
      </c>
      <c r="Y261" s="115"/>
      <c r="Z261" s="115">
        <v>0</v>
      </c>
      <c r="AA261" s="115"/>
      <c r="AB261" s="115">
        <v>5000</v>
      </c>
      <c r="AC261" s="115"/>
      <c r="AD261" s="115"/>
      <c r="AE261" s="115"/>
      <c r="AF261" s="291"/>
      <c r="AG261" s="246">
        <v>43277</v>
      </c>
      <c r="AH261" s="133">
        <v>154988</v>
      </c>
      <c r="AI261" s="132">
        <f t="shared" si="82"/>
        <v>263656</v>
      </c>
      <c r="AJ261" s="132">
        <f t="shared" si="83"/>
        <v>258656</v>
      </c>
      <c r="AK261" s="132">
        <f t="shared" si="84"/>
        <v>5000</v>
      </c>
      <c r="AL261" s="176"/>
      <c r="AM261" s="133" t="s">
        <v>974</v>
      </c>
      <c r="AN261" s="246">
        <v>44842</v>
      </c>
      <c r="AO261" s="259"/>
    </row>
    <row r="262" s="187" customFormat="1" customHeight="1" spans="1:41">
      <c r="A262" s="115" t="s">
        <v>975</v>
      </c>
      <c r="B262" s="115" t="s">
        <v>976</v>
      </c>
      <c r="C262" s="193" t="s">
        <v>977</v>
      </c>
      <c r="D262" s="193" t="str">
        <f t="shared" si="85"/>
        <v>周圣岩411425199303028113</v>
      </c>
      <c r="E262" s="155">
        <v>13643852451</v>
      </c>
      <c r="F262" s="115"/>
      <c r="G262" s="115">
        <v>5</v>
      </c>
      <c r="H262" s="115"/>
      <c r="I262" s="115">
        <v>28</v>
      </c>
      <c r="J262" s="115">
        <v>2805</v>
      </c>
      <c r="K262" s="115">
        <v>61.01</v>
      </c>
      <c r="L262" s="115">
        <v>17900</v>
      </c>
      <c r="M262" s="115"/>
      <c r="N262" s="115"/>
      <c r="O262" s="431">
        <v>15900</v>
      </c>
      <c r="P262" s="115">
        <v>970059</v>
      </c>
      <c r="Q262" s="115" t="s">
        <v>66</v>
      </c>
      <c r="R262" s="115">
        <v>291018</v>
      </c>
      <c r="S262" s="115"/>
      <c r="T262" s="115">
        <v>679041</v>
      </c>
      <c r="U262" s="115"/>
      <c r="V262" s="115"/>
      <c r="W262" s="115"/>
      <c r="X262" s="115"/>
      <c r="Y262" s="115" t="s">
        <v>535</v>
      </c>
      <c r="Z262" s="115"/>
      <c r="AA262" s="115"/>
      <c r="AB262" s="115"/>
      <c r="AC262" s="115"/>
      <c r="AD262" s="115"/>
      <c r="AE262" s="115"/>
      <c r="AF262" s="291"/>
      <c r="AG262" s="246">
        <v>43165</v>
      </c>
      <c r="AH262" s="133"/>
      <c r="AI262" s="132">
        <f t="shared" si="82"/>
        <v>291018</v>
      </c>
      <c r="AJ262" s="132">
        <f t="shared" si="83"/>
        <v>291018</v>
      </c>
      <c r="AK262" s="132">
        <f t="shared" si="84"/>
        <v>0</v>
      </c>
      <c r="AL262" s="176"/>
      <c r="AM262" s="133" t="s">
        <v>974</v>
      </c>
      <c r="AN262" s="246">
        <v>44842</v>
      </c>
      <c r="AO262" s="259"/>
    </row>
    <row r="263" s="96" customFormat="1" customHeight="1" spans="1:44">
      <c r="A263" s="115" t="s">
        <v>978</v>
      </c>
      <c r="B263" s="115" t="s">
        <v>979</v>
      </c>
      <c r="C263" s="193" t="s">
        <v>980</v>
      </c>
      <c r="D263" s="193" t="str">
        <f t="shared" si="85"/>
        <v>周华/周克显412728197909092555</v>
      </c>
      <c r="E263" s="155">
        <v>13598005777</v>
      </c>
      <c r="F263" s="115"/>
      <c r="G263" s="115">
        <v>3</v>
      </c>
      <c r="H263" s="115">
        <v>13</v>
      </c>
      <c r="I263" s="115"/>
      <c r="J263" s="115">
        <v>1322</v>
      </c>
      <c r="K263" s="115">
        <v>64.29</v>
      </c>
      <c r="L263" s="115">
        <v>20000</v>
      </c>
      <c r="M263" s="115"/>
      <c r="N263" s="115"/>
      <c r="O263" s="431">
        <v>8742.96</v>
      </c>
      <c r="P263" s="115">
        <v>562085</v>
      </c>
      <c r="Q263" s="115" t="s">
        <v>56</v>
      </c>
      <c r="R263" s="115">
        <v>562085</v>
      </c>
      <c r="S263" s="115"/>
      <c r="T263" s="115" t="s">
        <v>47</v>
      </c>
      <c r="U263" s="115"/>
      <c r="V263" s="115"/>
      <c r="W263" s="115">
        <v>4178</v>
      </c>
      <c r="X263" s="115">
        <v>560</v>
      </c>
      <c r="Y263" s="115"/>
      <c r="Z263" s="115" t="s">
        <v>48</v>
      </c>
      <c r="AA263" s="115"/>
      <c r="AB263" s="115"/>
      <c r="AC263" s="115"/>
      <c r="AD263" s="115"/>
      <c r="AE263" s="115"/>
      <c r="AF263" s="291"/>
      <c r="AG263" s="246">
        <v>42567</v>
      </c>
      <c r="AH263" s="133">
        <v>566823</v>
      </c>
      <c r="AI263" s="132">
        <f t="shared" si="82"/>
        <v>566823</v>
      </c>
      <c r="AJ263" s="132">
        <f t="shared" si="83"/>
        <v>566823</v>
      </c>
      <c r="AK263" s="132">
        <f t="shared" si="84"/>
        <v>0</v>
      </c>
      <c r="AL263" s="176"/>
      <c r="AM263" s="133" t="s">
        <v>900</v>
      </c>
      <c r="AN263" s="246">
        <v>44843</v>
      </c>
      <c r="AO263" s="259"/>
      <c r="AP263" s="187"/>
      <c r="AQ263" s="187"/>
      <c r="AR263" s="187"/>
    </row>
    <row r="264" s="96" customFormat="1" customHeight="1" spans="1:44">
      <c r="A264" s="115" t="s">
        <v>981</v>
      </c>
      <c r="B264" s="115" t="s">
        <v>982</v>
      </c>
      <c r="C264" s="547" t="s">
        <v>983</v>
      </c>
      <c r="D264" s="193" t="str">
        <f t="shared" si="85"/>
        <v>陆振新412726196510146079</v>
      </c>
      <c r="E264" s="155" t="s">
        <v>984</v>
      </c>
      <c r="F264" s="115"/>
      <c r="G264" s="115">
        <v>10</v>
      </c>
      <c r="H264" s="115">
        <v>2</v>
      </c>
      <c r="I264" s="115">
        <v>25</v>
      </c>
      <c r="J264" s="115">
        <v>2507</v>
      </c>
      <c r="K264" s="115">
        <v>99.52</v>
      </c>
      <c r="L264" s="115">
        <v>8660</v>
      </c>
      <c r="M264" s="115"/>
      <c r="N264" s="115"/>
      <c r="O264" s="431">
        <v>8560</v>
      </c>
      <c r="P264" s="239">
        <v>851891</v>
      </c>
      <c r="Q264" s="445" t="s">
        <v>66</v>
      </c>
      <c r="R264" s="115">
        <v>269384</v>
      </c>
      <c r="S264" s="115"/>
      <c r="T264" s="445">
        <v>582507.2</v>
      </c>
      <c r="U264" s="181"/>
      <c r="V264" s="115"/>
      <c r="W264" s="115"/>
      <c r="X264" s="115"/>
      <c r="Y264" s="115"/>
      <c r="Z264" s="115"/>
      <c r="AA264" s="246"/>
      <c r="AB264" s="115"/>
      <c r="AC264" s="115"/>
      <c r="AD264" s="115"/>
      <c r="AE264" s="115"/>
      <c r="AF264" s="291"/>
      <c r="AG264" s="246">
        <v>42161</v>
      </c>
      <c r="AH264" s="133">
        <v>269384</v>
      </c>
      <c r="AI264" s="132">
        <f t="shared" si="82"/>
        <v>269384</v>
      </c>
      <c r="AJ264" s="132">
        <f t="shared" si="83"/>
        <v>269384</v>
      </c>
      <c r="AK264" s="132">
        <f t="shared" si="84"/>
        <v>0</v>
      </c>
      <c r="AL264" s="176"/>
      <c r="AM264" s="133" t="s">
        <v>900</v>
      </c>
      <c r="AN264" s="246">
        <v>44843</v>
      </c>
      <c r="AO264" s="259"/>
      <c r="AP264" s="187"/>
      <c r="AQ264" s="187"/>
      <c r="AR264" s="187"/>
    </row>
    <row r="265" s="96" customFormat="1" customHeight="1" spans="1:44">
      <c r="A265" s="115" t="s">
        <v>985</v>
      </c>
      <c r="B265" s="106" t="s">
        <v>986</v>
      </c>
      <c r="C265" s="167" t="s">
        <v>987</v>
      </c>
      <c r="D265" s="193" t="str">
        <f t="shared" si="85"/>
        <v>黄美玲41078219860819476X</v>
      </c>
      <c r="E265" s="107">
        <v>15544080000</v>
      </c>
      <c r="F265" s="106"/>
      <c r="G265" s="109">
        <v>9</v>
      </c>
      <c r="H265" s="106">
        <v>3</v>
      </c>
      <c r="I265" s="106">
        <v>31</v>
      </c>
      <c r="J265" s="106">
        <v>3103</v>
      </c>
      <c r="K265" s="106">
        <v>99.56</v>
      </c>
      <c r="L265" s="106">
        <v>10600</v>
      </c>
      <c r="M265" s="106"/>
      <c r="N265" s="106"/>
      <c r="O265" s="431">
        <v>10500</v>
      </c>
      <c r="P265" s="110">
        <v>1045380</v>
      </c>
      <c r="Q265" s="110" t="s">
        <v>66</v>
      </c>
      <c r="R265" s="110">
        <v>550950</v>
      </c>
      <c r="S265" s="110"/>
      <c r="T265" s="110">
        <v>494430</v>
      </c>
      <c r="U265" s="110"/>
      <c r="V265" s="106"/>
      <c r="W265" s="106"/>
      <c r="X265" s="106"/>
      <c r="Y265" s="106"/>
      <c r="Z265" s="106"/>
      <c r="AA265" s="290"/>
      <c r="AB265" s="106"/>
      <c r="AC265" s="115"/>
      <c r="AD265" s="115"/>
      <c r="AE265" s="115"/>
      <c r="AF265" s="291"/>
      <c r="AG265" s="246">
        <v>41610</v>
      </c>
      <c r="AH265" s="133">
        <v>550950</v>
      </c>
      <c r="AI265" s="132">
        <f t="shared" ref="AI265:AI271" si="86">R265+V265+W265+X265+AA265+AB265+AC265+AD265</f>
        <v>550950</v>
      </c>
      <c r="AJ265" s="132">
        <f t="shared" ref="AJ265:AJ271" si="87">R265+W265+V265+X265+AA265</f>
        <v>550950</v>
      </c>
      <c r="AK265" s="132">
        <f t="shared" ref="AK265:AK271" si="88">AI265-AJ265</f>
        <v>0</v>
      </c>
      <c r="AL265" s="176"/>
      <c r="AM265" s="133" t="s">
        <v>900</v>
      </c>
      <c r="AN265" s="246">
        <v>44843</v>
      </c>
      <c r="AO265" s="259"/>
      <c r="AP265" s="187"/>
      <c r="AQ265" s="187"/>
      <c r="AR265" s="187"/>
    </row>
    <row r="266" s="96" customFormat="1" customHeight="1" spans="1:44">
      <c r="A266" s="106" t="s">
        <v>988</v>
      </c>
      <c r="B266" s="155" t="s">
        <v>989</v>
      </c>
      <c r="C266" s="166" t="s">
        <v>990</v>
      </c>
      <c r="D266" s="193" t="str">
        <f t="shared" si="85"/>
        <v>李晓41018419880501182X</v>
      </c>
      <c r="E266" s="166" t="s">
        <v>991</v>
      </c>
      <c r="F266" s="156"/>
      <c r="G266" s="115">
        <v>2</v>
      </c>
      <c r="H266" s="115">
        <v>20</v>
      </c>
      <c r="I266" s="115"/>
      <c r="J266" s="115">
        <v>2001</v>
      </c>
      <c r="K266" s="115">
        <v>43.56</v>
      </c>
      <c r="L266" s="239">
        <v>30000</v>
      </c>
      <c r="M266" s="239"/>
      <c r="N266" s="239"/>
      <c r="O266" s="431">
        <v>15039.14</v>
      </c>
      <c r="P266" s="239">
        <v>655105</v>
      </c>
      <c r="Q266" s="445" t="s">
        <v>66</v>
      </c>
      <c r="R266" s="115">
        <v>335105</v>
      </c>
      <c r="S266" s="115"/>
      <c r="T266" s="445">
        <v>0</v>
      </c>
      <c r="U266" s="115"/>
      <c r="V266" s="445">
        <v>320000</v>
      </c>
      <c r="W266" s="106"/>
      <c r="X266" s="445">
        <v>550</v>
      </c>
      <c r="Y266" s="445"/>
      <c r="Z266" s="115" t="s">
        <v>48</v>
      </c>
      <c r="AA266" s="115"/>
      <c r="AB266" s="115"/>
      <c r="AC266" s="115"/>
      <c r="AD266" s="115"/>
      <c r="AE266" s="115"/>
      <c r="AF266" s="291"/>
      <c r="AG266" s="246">
        <v>43806</v>
      </c>
      <c r="AH266" s="133"/>
      <c r="AI266" s="132">
        <f t="shared" si="86"/>
        <v>655655</v>
      </c>
      <c r="AJ266" s="132">
        <f t="shared" si="87"/>
        <v>655655</v>
      </c>
      <c r="AK266" s="132">
        <f t="shared" si="88"/>
        <v>0</v>
      </c>
      <c r="AL266" s="176" t="s">
        <v>992</v>
      </c>
      <c r="AM266" s="133" t="s">
        <v>900</v>
      </c>
      <c r="AN266" s="246">
        <v>44843</v>
      </c>
      <c r="AO266" s="259"/>
      <c r="AP266" s="187"/>
      <c r="AQ266" s="187"/>
      <c r="AR266" s="187"/>
    </row>
    <row r="267" s="96" customFormat="1" customHeight="1" spans="1:41">
      <c r="A267" s="115" t="s">
        <v>993</v>
      </c>
      <c r="B267" s="115" t="s">
        <v>994</v>
      </c>
      <c r="C267" s="193" t="s">
        <v>995</v>
      </c>
      <c r="D267" s="193" t="str">
        <f t="shared" si="85"/>
        <v>刘新玲410105196705138407</v>
      </c>
      <c r="E267" s="115" t="s">
        <v>996</v>
      </c>
      <c r="F267" s="291" t="s">
        <v>997</v>
      </c>
      <c r="G267" s="115">
        <v>6</v>
      </c>
      <c r="H267" s="115">
        <v>1</v>
      </c>
      <c r="I267" s="115">
        <v>28</v>
      </c>
      <c r="J267" s="115">
        <v>2808</v>
      </c>
      <c r="K267" s="115">
        <v>109.13</v>
      </c>
      <c r="L267" s="115">
        <v>17900</v>
      </c>
      <c r="M267" s="181"/>
      <c r="N267" s="181"/>
      <c r="O267" s="431">
        <v>14500</v>
      </c>
      <c r="P267" s="115">
        <v>1582385</v>
      </c>
      <c r="Q267" s="115" t="s">
        <v>56</v>
      </c>
      <c r="R267" s="115">
        <v>1582385</v>
      </c>
      <c r="S267" s="115"/>
      <c r="T267" s="115" t="s">
        <v>47</v>
      </c>
      <c r="U267" s="115"/>
      <c r="V267" s="133"/>
      <c r="W267" s="133">
        <v>7093</v>
      </c>
      <c r="X267" s="133">
        <v>80</v>
      </c>
      <c r="Y267" s="115"/>
      <c r="Z267" s="115" t="s">
        <v>48</v>
      </c>
      <c r="AA267" s="133"/>
      <c r="AB267" s="115"/>
      <c r="AC267" s="115"/>
      <c r="AD267" s="115"/>
      <c r="AE267" s="115"/>
      <c r="AF267" s="291"/>
      <c r="AG267" s="246">
        <v>43976</v>
      </c>
      <c r="AH267" s="133"/>
      <c r="AI267" s="132">
        <f t="shared" si="86"/>
        <v>1589558</v>
      </c>
      <c r="AJ267" s="132">
        <f t="shared" si="87"/>
        <v>1589558</v>
      </c>
      <c r="AK267" s="132">
        <f t="shared" si="88"/>
        <v>0</v>
      </c>
      <c r="AL267" s="176"/>
      <c r="AM267" s="133" t="s">
        <v>854</v>
      </c>
      <c r="AN267" s="246">
        <v>44843</v>
      </c>
      <c r="AO267" s="259"/>
    </row>
    <row r="268" s="96" customFormat="1" customHeight="1" spans="1:41">
      <c r="A268" s="115" t="s">
        <v>998</v>
      </c>
      <c r="B268" s="115" t="s">
        <v>999</v>
      </c>
      <c r="C268" s="193" t="s">
        <v>1000</v>
      </c>
      <c r="D268" s="193" t="str">
        <f t="shared" si="85"/>
        <v>李文静410523197311043092</v>
      </c>
      <c r="E268" s="115">
        <v>13503469226</v>
      </c>
      <c r="F268" s="291"/>
      <c r="G268" s="115">
        <v>6</v>
      </c>
      <c r="H268" s="115">
        <v>1</v>
      </c>
      <c r="I268" s="115">
        <v>11</v>
      </c>
      <c r="J268" s="115">
        <v>1107</v>
      </c>
      <c r="K268" s="115">
        <v>86.33</v>
      </c>
      <c r="L268" s="115">
        <v>17900</v>
      </c>
      <c r="M268" s="181"/>
      <c r="N268" s="181"/>
      <c r="O268" s="431">
        <v>15000</v>
      </c>
      <c r="P268" s="115">
        <v>1294950</v>
      </c>
      <c r="Q268" s="115" t="s">
        <v>56</v>
      </c>
      <c r="R268" s="115">
        <v>1294950</v>
      </c>
      <c r="S268" s="115"/>
      <c r="T268" s="115" t="s">
        <v>47</v>
      </c>
      <c r="U268" s="115"/>
      <c r="V268" s="133"/>
      <c r="W268" s="133">
        <v>5611</v>
      </c>
      <c r="X268" s="133">
        <v>80</v>
      </c>
      <c r="Y268" s="115"/>
      <c r="Z268" s="115" t="s">
        <v>48</v>
      </c>
      <c r="AA268" s="133"/>
      <c r="AB268" s="115"/>
      <c r="AC268" s="115"/>
      <c r="AD268" s="115"/>
      <c r="AE268" s="115"/>
      <c r="AF268" s="291"/>
      <c r="AG268" s="246">
        <v>43768</v>
      </c>
      <c r="AH268" s="133"/>
      <c r="AI268" s="132">
        <f t="shared" si="86"/>
        <v>1300641</v>
      </c>
      <c r="AJ268" s="132">
        <f t="shared" si="87"/>
        <v>1300641</v>
      </c>
      <c r="AK268" s="132">
        <f t="shared" si="88"/>
        <v>0</v>
      </c>
      <c r="AL268" s="176"/>
      <c r="AM268" s="133" t="s">
        <v>854</v>
      </c>
      <c r="AN268" s="246">
        <v>44843</v>
      </c>
      <c r="AO268" s="259"/>
    </row>
    <row r="269" s="96" customFormat="1" customHeight="1" spans="1:44">
      <c r="A269" s="115" t="s">
        <v>1001</v>
      </c>
      <c r="B269" s="115" t="s">
        <v>1002</v>
      </c>
      <c r="C269" s="193" t="s">
        <v>1003</v>
      </c>
      <c r="D269" s="193" t="str">
        <f t="shared" si="85"/>
        <v>程文召412701196804031516</v>
      </c>
      <c r="E269" s="155">
        <v>13353860888</v>
      </c>
      <c r="F269" s="115"/>
      <c r="G269" s="115">
        <v>3</v>
      </c>
      <c r="H269" s="115"/>
      <c r="I269" s="115">
        <v>12</v>
      </c>
      <c r="J269" s="115">
        <v>1224</v>
      </c>
      <c r="K269" s="115">
        <v>58.01</v>
      </c>
      <c r="L269" s="115">
        <v>20000</v>
      </c>
      <c r="M269" s="115"/>
      <c r="N269" s="115"/>
      <c r="O269" s="431">
        <v>9554.65</v>
      </c>
      <c r="P269" s="115">
        <f>ROUND(O269*K269,0)</f>
        <v>554265</v>
      </c>
      <c r="Q269" s="115" t="s">
        <v>66</v>
      </c>
      <c r="R269" s="115">
        <v>284265</v>
      </c>
      <c r="S269" s="115"/>
      <c r="T269" s="115">
        <v>270000</v>
      </c>
      <c r="U269" s="115"/>
      <c r="V269" s="115"/>
      <c r="W269" s="115">
        <v>3770</v>
      </c>
      <c r="X269" s="115">
        <v>550</v>
      </c>
      <c r="Y269" s="115"/>
      <c r="Z269" s="115"/>
      <c r="AA269" s="115"/>
      <c r="AB269" s="115">
        <v>1577</v>
      </c>
      <c r="AC269" s="115"/>
      <c r="AD269" s="115"/>
      <c r="AE269" s="291"/>
      <c r="AF269" s="246"/>
      <c r="AG269" s="246">
        <v>43068</v>
      </c>
      <c r="AH269" s="133">
        <f>AJ269</f>
        <v>288585</v>
      </c>
      <c r="AI269" s="132">
        <f t="shared" si="86"/>
        <v>290162</v>
      </c>
      <c r="AJ269" s="132">
        <f t="shared" si="87"/>
        <v>288585</v>
      </c>
      <c r="AK269" s="132">
        <f t="shared" si="88"/>
        <v>1577</v>
      </c>
      <c r="AL269" s="133"/>
      <c r="AM269" s="133" t="s">
        <v>886</v>
      </c>
      <c r="AN269" s="246">
        <v>44843</v>
      </c>
      <c r="AO269" s="259"/>
      <c r="AP269" s="187"/>
      <c r="AQ269" s="187"/>
      <c r="AR269" s="187"/>
    </row>
    <row r="270" s="96" customFormat="1" customHeight="1" spans="1:44">
      <c r="A270" s="115" t="s">
        <v>1004</v>
      </c>
      <c r="B270" s="115" t="s">
        <v>1005</v>
      </c>
      <c r="C270" s="193" t="s">
        <v>1006</v>
      </c>
      <c r="D270" s="193" t="str">
        <f t="shared" si="85"/>
        <v>尚小雪411325198811274169</v>
      </c>
      <c r="E270" s="155">
        <v>18801180453</v>
      </c>
      <c r="F270" s="115"/>
      <c r="G270" s="115">
        <v>9</v>
      </c>
      <c r="H270" s="115">
        <v>3</v>
      </c>
      <c r="I270" s="115">
        <v>3</v>
      </c>
      <c r="J270" s="115">
        <v>301</v>
      </c>
      <c r="K270" s="115">
        <v>92.61</v>
      </c>
      <c r="L270" s="115">
        <v>9100</v>
      </c>
      <c r="M270" s="115"/>
      <c r="N270" s="115"/>
      <c r="O270" s="431">
        <v>9000</v>
      </c>
      <c r="P270" s="115">
        <f>ROUND(O270*K270,0)</f>
        <v>833490</v>
      </c>
      <c r="Q270" s="115" t="s">
        <v>56</v>
      </c>
      <c r="R270" s="115">
        <v>833490</v>
      </c>
      <c r="S270" s="115"/>
      <c r="T270" s="115" t="s">
        <v>47</v>
      </c>
      <c r="U270" s="115"/>
      <c r="V270" s="115"/>
      <c r="W270" s="115">
        <v>6019</v>
      </c>
      <c r="X270" s="115">
        <v>80</v>
      </c>
      <c r="Y270" s="115"/>
      <c r="Z270" s="115" t="s">
        <v>48</v>
      </c>
      <c r="AA270" s="115"/>
      <c r="AB270" s="115"/>
      <c r="AC270" s="115"/>
      <c r="AD270" s="115"/>
      <c r="AE270" s="115"/>
      <c r="AF270" s="291"/>
      <c r="AG270" s="246">
        <v>43075</v>
      </c>
      <c r="AH270" s="133">
        <f>AJ270</f>
        <v>839589</v>
      </c>
      <c r="AI270" s="132">
        <f t="shared" ref="AI270:AI276" si="89">R270+V270+W270+X270+AA270+AB270+AC270+AD270</f>
        <v>839589</v>
      </c>
      <c r="AJ270" s="132">
        <f t="shared" ref="AJ270:AJ276" si="90">R270+W270+V270+X270+AA270</f>
        <v>839589</v>
      </c>
      <c r="AK270" s="132">
        <f t="shared" ref="AK270:AK276" si="91">AI270-AJ270</f>
        <v>0</v>
      </c>
      <c r="AL270" s="176"/>
      <c r="AM270" s="133" t="s">
        <v>886</v>
      </c>
      <c r="AN270" s="246">
        <v>44843</v>
      </c>
      <c r="AO270" s="259"/>
      <c r="AP270" s="187"/>
      <c r="AQ270" s="187"/>
      <c r="AR270" s="187"/>
    </row>
    <row r="271" s="187" customFormat="1" customHeight="1" spans="1:41">
      <c r="A271" s="115" t="s">
        <v>1007</v>
      </c>
      <c r="B271" s="115" t="s">
        <v>1005</v>
      </c>
      <c r="C271" s="193" t="s">
        <v>1008</v>
      </c>
      <c r="D271" s="193" t="str">
        <f t="shared" si="85"/>
        <v>尚小雪411325199811274169</v>
      </c>
      <c r="E271" s="155">
        <v>18801180453</v>
      </c>
      <c r="F271" s="115"/>
      <c r="G271" s="115">
        <v>9</v>
      </c>
      <c r="H271" s="115">
        <v>3</v>
      </c>
      <c r="I271" s="115">
        <v>3</v>
      </c>
      <c r="J271" s="115">
        <v>302</v>
      </c>
      <c r="K271" s="115">
        <v>98.96</v>
      </c>
      <c r="L271" s="115">
        <v>19530</v>
      </c>
      <c r="M271" s="115"/>
      <c r="N271" s="115"/>
      <c r="O271" s="431">
        <v>9000</v>
      </c>
      <c r="P271" s="115">
        <f>ROUND(O271*K271,0)</f>
        <v>890640</v>
      </c>
      <c r="Q271" s="115" t="s">
        <v>56</v>
      </c>
      <c r="R271" s="115">
        <v>890640</v>
      </c>
      <c r="S271" s="115"/>
      <c r="T271" s="115" t="s">
        <v>47</v>
      </c>
      <c r="U271" s="115"/>
      <c r="V271" s="115"/>
      <c r="W271" s="115">
        <v>6432</v>
      </c>
      <c r="X271" s="115">
        <v>80</v>
      </c>
      <c r="Y271" s="115"/>
      <c r="Z271" s="115" t="s">
        <v>48</v>
      </c>
      <c r="AA271" s="115"/>
      <c r="AB271" s="115"/>
      <c r="AC271" s="115"/>
      <c r="AD271" s="115"/>
      <c r="AE271" s="115"/>
      <c r="AF271" s="291"/>
      <c r="AG271" s="246">
        <v>43075</v>
      </c>
      <c r="AH271" s="133"/>
      <c r="AI271" s="132">
        <f t="shared" si="89"/>
        <v>897152</v>
      </c>
      <c r="AJ271" s="132">
        <f t="shared" si="90"/>
        <v>897152</v>
      </c>
      <c r="AK271" s="132">
        <f t="shared" si="91"/>
        <v>0</v>
      </c>
      <c r="AL271" s="176"/>
      <c r="AM271" s="133" t="s">
        <v>886</v>
      </c>
      <c r="AN271" s="246">
        <v>44843</v>
      </c>
      <c r="AO271" s="259"/>
    </row>
    <row r="272" s="187" customFormat="1" customHeight="1" spans="1:41">
      <c r="A272" s="115" t="s">
        <v>1009</v>
      </c>
      <c r="B272" s="115" t="s">
        <v>1010</v>
      </c>
      <c r="C272" s="193" t="s">
        <v>1011</v>
      </c>
      <c r="D272" s="193" t="str">
        <f t="shared" si="85"/>
        <v>曹云朋411122199109024017</v>
      </c>
      <c r="E272" s="155" t="s">
        <v>1012</v>
      </c>
      <c r="F272" s="115"/>
      <c r="G272" s="115">
        <v>3</v>
      </c>
      <c r="H272" s="115"/>
      <c r="I272" s="115">
        <v>16</v>
      </c>
      <c r="J272" s="115">
        <v>1626</v>
      </c>
      <c r="K272" s="115">
        <v>56.59</v>
      </c>
      <c r="L272" s="115">
        <v>20000</v>
      </c>
      <c r="M272" s="115"/>
      <c r="N272" s="115"/>
      <c r="O272" s="431">
        <v>13676.9973661106</v>
      </c>
      <c r="P272" s="115">
        <f>ROUND(O272*K272,0)</f>
        <v>773981</v>
      </c>
      <c r="Q272" s="115" t="s">
        <v>66</v>
      </c>
      <c r="R272" s="115">
        <v>389981</v>
      </c>
      <c r="S272" s="115"/>
      <c r="T272" s="115">
        <v>384000</v>
      </c>
      <c r="U272" s="115"/>
      <c r="V272" s="115"/>
      <c r="W272" s="115">
        <v>3678</v>
      </c>
      <c r="X272" s="115">
        <v>550</v>
      </c>
      <c r="Y272" s="115"/>
      <c r="Z272" s="115"/>
      <c r="AA272" s="115"/>
      <c r="AB272" s="115"/>
      <c r="AC272" s="115"/>
      <c r="AD272" s="115"/>
      <c r="AE272" s="115"/>
      <c r="AF272" s="291" t="s">
        <v>1013</v>
      </c>
      <c r="AG272" s="246">
        <v>42710</v>
      </c>
      <c r="AH272" s="133"/>
      <c r="AI272" s="132">
        <f t="shared" si="89"/>
        <v>394209</v>
      </c>
      <c r="AJ272" s="132">
        <f t="shared" si="90"/>
        <v>394209</v>
      </c>
      <c r="AK272" s="132">
        <f t="shared" si="91"/>
        <v>0</v>
      </c>
      <c r="AL272" s="176" t="s">
        <v>1014</v>
      </c>
      <c r="AM272" s="133" t="s">
        <v>886</v>
      </c>
      <c r="AN272" s="246">
        <v>44843</v>
      </c>
      <c r="AO272" s="259"/>
    </row>
    <row r="273" s="187" customFormat="1" customHeight="1" spans="1:41">
      <c r="A273" s="115" t="s">
        <v>1015</v>
      </c>
      <c r="B273" s="115" t="s">
        <v>1016</v>
      </c>
      <c r="C273" s="193" t="s">
        <v>1017</v>
      </c>
      <c r="D273" s="193" t="str">
        <f t="shared" si="85"/>
        <v>杨姣410203198606031024</v>
      </c>
      <c r="E273" s="155">
        <v>18638163724</v>
      </c>
      <c r="F273" s="115"/>
      <c r="G273" s="115">
        <v>9</v>
      </c>
      <c r="H273" s="115">
        <v>3</v>
      </c>
      <c r="I273" s="115">
        <v>10</v>
      </c>
      <c r="J273" s="115">
        <v>1003</v>
      </c>
      <c r="K273" s="115">
        <v>99.56</v>
      </c>
      <c r="L273" s="115">
        <v>8646</v>
      </c>
      <c r="M273" s="115"/>
      <c r="N273" s="115"/>
      <c r="O273" s="431">
        <v>8545.6</v>
      </c>
      <c r="P273" s="115">
        <f>ROUND(O273*K273,0)</f>
        <v>850800</v>
      </c>
      <c r="Q273" s="115" t="s">
        <v>46</v>
      </c>
      <c r="R273" s="115">
        <v>261800</v>
      </c>
      <c r="S273" s="115"/>
      <c r="T273" s="115" t="s">
        <v>47</v>
      </c>
      <c r="U273" s="115"/>
      <c r="V273" s="115">
        <v>589000</v>
      </c>
      <c r="W273" s="115">
        <v>6471</v>
      </c>
      <c r="X273" s="115">
        <v>80</v>
      </c>
      <c r="Y273" s="115"/>
      <c r="Z273" s="115" t="s">
        <v>48</v>
      </c>
      <c r="AA273" s="115"/>
      <c r="AB273" s="115">
        <v>1000</v>
      </c>
      <c r="AC273" s="115"/>
      <c r="AD273" s="115"/>
      <c r="AE273" s="291"/>
      <c r="AF273" s="246"/>
      <c r="AG273" s="246">
        <v>43980</v>
      </c>
      <c r="AH273" s="133"/>
      <c r="AI273" s="132">
        <f t="shared" si="89"/>
        <v>858351</v>
      </c>
      <c r="AJ273" s="132">
        <f t="shared" si="90"/>
        <v>857351</v>
      </c>
      <c r="AK273" s="132">
        <f t="shared" si="91"/>
        <v>1000</v>
      </c>
      <c r="AL273" s="133"/>
      <c r="AM273" s="133" t="s">
        <v>886</v>
      </c>
      <c r="AN273" s="246">
        <v>44843</v>
      </c>
      <c r="AO273" s="259"/>
    </row>
    <row r="274" s="187" customFormat="1" customHeight="1" spans="1:41">
      <c r="A274" s="115" t="s">
        <v>1018</v>
      </c>
      <c r="B274" s="115" t="s">
        <v>1019</v>
      </c>
      <c r="C274" s="115" t="s">
        <v>1020</v>
      </c>
      <c r="D274" s="193" t="str">
        <f t="shared" si="85"/>
        <v>张鹏410105197901083313</v>
      </c>
      <c r="E274" s="155">
        <v>13937125029</v>
      </c>
      <c r="F274" s="115"/>
      <c r="G274" s="115">
        <v>10</v>
      </c>
      <c r="H274" s="115">
        <v>2</v>
      </c>
      <c r="I274" s="115">
        <v>20</v>
      </c>
      <c r="J274" s="115">
        <v>2005</v>
      </c>
      <c r="K274" s="115">
        <v>93.84</v>
      </c>
      <c r="L274" s="115">
        <v>12700</v>
      </c>
      <c r="M274" s="115"/>
      <c r="N274" s="115"/>
      <c r="O274" s="431">
        <v>12600</v>
      </c>
      <c r="P274" s="239">
        <v>1182384</v>
      </c>
      <c r="Q274" s="445" t="s">
        <v>56</v>
      </c>
      <c r="R274" s="115">
        <v>1182384</v>
      </c>
      <c r="S274" s="115"/>
      <c r="T274" s="445" t="s">
        <v>47</v>
      </c>
      <c r="U274" s="181"/>
      <c r="V274" s="115"/>
      <c r="W274" s="115">
        <v>6099</v>
      </c>
      <c r="X274" s="115">
        <v>80</v>
      </c>
      <c r="Y274" s="115"/>
      <c r="Z274" s="115" t="s">
        <v>48</v>
      </c>
      <c r="AA274" s="115"/>
      <c r="AB274" s="115"/>
      <c r="AC274" s="115"/>
      <c r="AD274" s="115"/>
      <c r="AE274" s="115"/>
      <c r="AF274" s="291"/>
      <c r="AG274" s="246">
        <v>43127</v>
      </c>
      <c r="AH274" s="133"/>
      <c r="AI274" s="132">
        <f t="shared" si="89"/>
        <v>1188563</v>
      </c>
      <c r="AJ274" s="132">
        <f t="shared" si="90"/>
        <v>1188563</v>
      </c>
      <c r="AK274" s="132">
        <f t="shared" si="91"/>
        <v>0</v>
      </c>
      <c r="AL274" s="176"/>
      <c r="AM274" s="133" t="s">
        <v>900</v>
      </c>
      <c r="AN274" s="246">
        <v>44843</v>
      </c>
      <c r="AO274" s="259"/>
    </row>
    <row r="275" s="187" customFormat="1" customHeight="1" spans="1:41">
      <c r="A275" s="115" t="s">
        <v>1021</v>
      </c>
      <c r="B275" s="155" t="s">
        <v>1022</v>
      </c>
      <c r="C275" s="166" t="s">
        <v>1023</v>
      </c>
      <c r="D275" s="193" t="str">
        <f t="shared" si="85"/>
        <v>赵庆华410503197310023027</v>
      </c>
      <c r="E275" s="155">
        <v>18537270288</v>
      </c>
      <c r="F275" s="115"/>
      <c r="G275" s="239">
        <v>6</v>
      </c>
      <c r="H275" s="115">
        <v>1</v>
      </c>
      <c r="I275" s="115">
        <v>7</v>
      </c>
      <c r="J275" s="115">
        <v>706</v>
      </c>
      <c r="K275" s="115">
        <v>86.33</v>
      </c>
      <c r="L275" s="115">
        <v>19430</v>
      </c>
      <c r="M275" s="115"/>
      <c r="N275" s="115"/>
      <c r="O275" s="431">
        <v>16000</v>
      </c>
      <c r="P275" s="445">
        <v>1381280</v>
      </c>
      <c r="Q275" s="445" t="s">
        <v>66</v>
      </c>
      <c r="R275" s="115">
        <v>721280</v>
      </c>
      <c r="S275" s="115"/>
      <c r="T275" s="445">
        <v>660000</v>
      </c>
      <c r="U275" s="115"/>
      <c r="V275" s="115"/>
      <c r="W275" s="115">
        <v>5611</v>
      </c>
      <c r="X275" s="115">
        <v>80</v>
      </c>
      <c r="Y275" s="115"/>
      <c r="Z275" s="115"/>
      <c r="AA275" s="246"/>
      <c r="AB275" s="115"/>
      <c r="AC275" s="115"/>
      <c r="AD275" s="115"/>
      <c r="AE275" s="115"/>
      <c r="AF275" s="291"/>
      <c r="AG275" s="246">
        <v>42967</v>
      </c>
      <c r="AH275" s="133"/>
      <c r="AI275" s="132">
        <f t="shared" si="89"/>
        <v>726971</v>
      </c>
      <c r="AJ275" s="132">
        <f t="shared" si="90"/>
        <v>726971</v>
      </c>
      <c r="AK275" s="132">
        <f t="shared" si="91"/>
        <v>0</v>
      </c>
      <c r="AL275" s="176"/>
      <c r="AM275" s="133" t="s">
        <v>900</v>
      </c>
      <c r="AN275" s="246">
        <v>44843</v>
      </c>
      <c r="AO275" s="259"/>
    </row>
    <row r="276" s="187" customFormat="1" customHeight="1" spans="1:44">
      <c r="A276" s="115" t="s">
        <v>1024</v>
      </c>
      <c r="B276" s="115" t="s">
        <v>1025</v>
      </c>
      <c r="C276" s="193" t="s">
        <v>1026</v>
      </c>
      <c r="D276" s="193" t="str">
        <f t="shared" si="85"/>
        <v>仉杨410504198006051024</v>
      </c>
      <c r="E276" s="115">
        <v>13526180562</v>
      </c>
      <c r="F276" s="291"/>
      <c r="G276" s="115">
        <v>10</v>
      </c>
      <c r="H276" s="115">
        <v>2</v>
      </c>
      <c r="I276" s="115">
        <v>17</v>
      </c>
      <c r="J276" s="115">
        <v>1705</v>
      </c>
      <c r="K276" s="115">
        <v>93.84</v>
      </c>
      <c r="L276" s="115">
        <v>11100</v>
      </c>
      <c r="M276" s="181"/>
      <c r="N276" s="181"/>
      <c r="O276" s="431">
        <v>11000</v>
      </c>
      <c r="P276" s="115">
        <v>1032240</v>
      </c>
      <c r="Q276" s="115" t="s">
        <v>56</v>
      </c>
      <c r="R276" s="115">
        <v>1032240</v>
      </c>
      <c r="S276" s="115"/>
      <c r="T276" s="115" t="s">
        <v>47</v>
      </c>
      <c r="U276" s="115"/>
      <c r="V276" s="133"/>
      <c r="W276" s="133">
        <v>6099</v>
      </c>
      <c r="X276" s="133">
        <v>80</v>
      </c>
      <c r="Y276" s="115"/>
      <c r="Z276" s="115" t="s">
        <v>48</v>
      </c>
      <c r="AA276" s="133"/>
      <c r="AB276" s="115"/>
      <c r="AC276" s="115"/>
      <c r="AD276" s="115"/>
      <c r="AE276" s="115"/>
      <c r="AF276" s="291"/>
      <c r="AG276" s="246">
        <v>43978</v>
      </c>
      <c r="AH276" s="133"/>
      <c r="AI276" s="132">
        <f t="shared" si="89"/>
        <v>1038419</v>
      </c>
      <c r="AJ276" s="132">
        <f t="shared" si="90"/>
        <v>1038419</v>
      </c>
      <c r="AK276" s="132">
        <f t="shared" si="91"/>
        <v>0</v>
      </c>
      <c r="AL276" s="176"/>
      <c r="AM276" s="133" t="s">
        <v>854</v>
      </c>
      <c r="AN276" s="246">
        <v>44843</v>
      </c>
      <c r="AO276" s="259"/>
      <c r="AP276" s="96"/>
      <c r="AQ276" s="96"/>
      <c r="AR276" s="96"/>
    </row>
    <row r="277" s="187" customFormat="1" customHeight="1" spans="1:44">
      <c r="A277" s="115" t="s">
        <v>1027</v>
      </c>
      <c r="B277" s="115" t="s">
        <v>1028</v>
      </c>
      <c r="C277" s="193" t="s">
        <v>1029</v>
      </c>
      <c r="D277" s="193" t="str">
        <f t="shared" si="85"/>
        <v>李丹阳410304199604042519</v>
      </c>
      <c r="E277" s="115">
        <v>13838391057</v>
      </c>
      <c r="F277" s="291"/>
      <c r="G277" s="115">
        <v>3</v>
      </c>
      <c r="H277" s="115">
        <v>13</v>
      </c>
      <c r="I277" s="115"/>
      <c r="J277" s="115">
        <v>1305</v>
      </c>
      <c r="K277" s="115">
        <v>59.91</v>
      </c>
      <c r="L277" s="115">
        <v>20000</v>
      </c>
      <c r="M277" s="181"/>
      <c r="N277" s="181"/>
      <c r="O277" s="431">
        <v>9202.87</v>
      </c>
      <c r="P277" s="115">
        <v>551344</v>
      </c>
      <c r="Q277" s="115" t="s">
        <v>56</v>
      </c>
      <c r="R277" s="115">
        <v>551344</v>
      </c>
      <c r="S277" s="115"/>
      <c r="T277" s="115" t="s">
        <v>47</v>
      </c>
      <c r="U277" s="115"/>
      <c r="V277" s="133"/>
      <c r="W277" s="133">
        <v>3894</v>
      </c>
      <c r="X277" s="133">
        <v>550</v>
      </c>
      <c r="Y277" s="115"/>
      <c r="Z277" s="115" t="s">
        <v>48</v>
      </c>
      <c r="AA277" s="133"/>
      <c r="AB277" s="115">
        <v>3000</v>
      </c>
      <c r="AC277" s="115"/>
      <c r="AD277" s="115"/>
      <c r="AE277" s="115"/>
      <c r="AF277" s="291"/>
      <c r="AG277" s="246">
        <v>43276</v>
      </c>
      <c r="AH277" s="133">
        <v>555788</v>
      </c>
      <c r="AI277" s="132">
        <f t="shared" ref="AI277:AI299" si="92">R277+V277+W277+X277+AA277+AB277+AC277+AD277</f>
        <v>558788</v>
      </c>
      <c r="AJ277" s="132">
        <f t="shared" ref="AJ277:AJ299" si="93">R277+W277+V277+X277+AA277</f>
        <v>555788</v>
      </c>
      <c r="AK277" s="132">
        <f t="shared" ref="AK277:AK298" si="94">AI277-AJ277</f>
        <v>3000</v>
      </c>
      <c r="AL277" s="176" t="s">
        <v>1030</v>
      </c>
      <c r="AM277" s="133" t="s">
        <v>854</v>
      </c>
      <c r="AN277" s="246">
        <v>44843</v>
      </c>
      <c r="AO277" s="259"/>
      <c r="AP277" s="96"/>
      <c r="AQ277" s="96"/>
      <c r="AR277" s="96"/>
    </row>
    <row r="278" s="187" customFormat="1" customHeight="1" spans="1:41">
      <c r="A278" s="115" t="s">
        <v>1031</v>
      </c>
      <c r="B278" s="115" t="s">
        <v>1032</v>
      </c>
      <c r="C278" s="115" t="s">
        <v>1033</v>
      </c>
      <c r="D278" s="193" t="str">
        <f t="shared" si="85"/>
        <v>孙少琼410421198409111061</v>
      </c>
      <c r="E278" s="155">
        <v>18703825338</v>
      </c>
      <c r="F278" s="115"/>
      <c r="G278" s="115">
        <v>10</v>
      </c>
      <c r="H278" s="115">
        <v>2</v>
      </c>
      <c r="I278" s="115">
        <v>30</v>
      </c>
      <c r="J278" s="115">
        <v>3007</v>
      </c>
      <c r="K278" s="115">
        <v>99.52</v>
      </c>
      <c r="L278" s="115">
        <v>9100</v>
      </c>
      <c r="M278" s="115"/>
      <c r="N278" s="115"/>
      <c r="O278" s="431">
        <v>9000</v>
      </c>
      <c r="P278" s="239">
        <v>895680</v>
      </c>
      <c r="Q278" s="445" t="s">
        <v>66</v>
      </c>
      <c r="R278" s="115">
        <v>300000</v>
      </c>
      <c r="S278" s="115"/>
      <c r="T278" s="445">
        <v>595680</v>
      </c>
      <c r="U278" s="115"/>
      <c r="V278" s="115"/>
      <c r="W278" s="115"/>
      <c r="X278" s="115"/>
      <c r="Y278" s="115"/>
      <c r="Z278" s="115"/>
      <c r="AA278" s="115"/>
      <c r="AB278" s="115"/>
      <c r="AC278" s="115"/>
      <c r="AD278" s="115"/>
      <c r="AE278" s="115"/>
      <c r="AF278" s="291"/>
      <c r="AG278" s="246">
        <v>42237</v>
      </c>
      <c r="AH278" s="133">
        <v>300000</v>
      </c>
      <c r="AI278" s="132">
        <f t="shared" si="92"/>
        <v>300000</v>
      </c>
      <c r="AJ278" s="132">
        <f t="shared" si="93"/>
        <v>300000</v>
      </c>
      <c r="AK278" s="132">
        <f t="shared" si="94"/>
        <v>0</v>
      </c>
      <c r="AL278" s="176"/>
      <c r="AM278" s="133" t="s">
        <v>900</v>
      </c>
      <c r="AN278" s="246">
        <v>44843</v>
      </c>
      <c r="AO278" s="259"/>
    </row>
    <row r="279" s="417" customFormat="1" customHeight="1" spans="1:41">
      <c r="A279" s="337" t="s">
        <v>1034</v>
      </c>
      <c r="B279" s="337" t="s">
        <v>1035</v>
      </c>
      <c r="C279" s="548" t="s">
        <v>1036</v>
      </c>
      <c r="D279" s="193" t="str">
        <f t="shared" si="85"/>
        <v>赵昊413023197401150057</v>
      </c>
      <c r="E279" s="442">
        <v>15515760610</v>
      </c>
      <c r="F279" s="337"/>
      <c r="G279" s="443">
        <v>10</v>
      </c>
      <c r="H279" s="337">
        <v>1</v>
      </c>
      <c r="I279" s="337">
        <v>19</v>
      </c>
      <c r="J279" s="337">
        <v>1909</v>
      </c>
      <c r="K279" s="337">
        <v>93.87</v>
      </c>
      <c r="L279" s="337"/>
      <c r="M279" s="337"/>
      <c r="N279" s="337"/>
      <c r="O279" s="446"/>
      <c r="P279" s="337"/>
      <c r="Q279" s="337"/>
      <c r="R279" s="337">
        <v>100000</v>
      </c>
      <c r="S279" s="337"/>
      <c r="T279" s="337"/>
      <c r="U279" s="337"/>
      <c r="V279" s="337"/>
      <c r="W279" s="337"/>
      <c r="X279" s="337"/>
      <c r="Y279" s="337"/>
      <c r="Z279" s="337"/>
      <c r="AA279" s="337"/>
      <c r="AB279" s="337"/>
      <c r="AC279" s="337"/>
      <c r="AD279" s="337"/>
      <c r="AE279" s="337"/>
      <c r="AF279" s="443" t="s">
        <v>437</v>
      </c>
      <c r="AG279" s="396">
        <v>42154</v>
      </c>
      <c r="AH279" s="395">
        <v>100000</v>
      </c>
      <c r="AI279" s="342">
        <f t="shared" si="92"/>
        <v>100000</v>
      </c>
      <c r="AJ279" s="342">
        <f t="shared" si="93"/>
        <v>100000</v>
      </c>
      <c r="AK279" s="342">
        <f t="shared" si="94"/>
        <v>0</v>
      </c>
      <c r="AL279" s="451" t="s">
        <v>1037</v>
      </c>
      <c r="AM279" s="395" t="s">
        <v>900</v>
      </c>
      <c r="AN279" s="396">
        <v>44843</v>
      </c>
      <c r="AO279" s="452"/>
    </row>
    <row r="280" s="187" customFormat="1" customHeight="1" spans="1:41">
      <c r="A280" s="115" t="s">
        <v>1038</v>
      </c>
      <c r="B280" s="155" t="s">
        <v>1039</v>
      </c>
      <c r="C280" s="166" t="s">
        <v>1040</v>
      </c>
      <c r="D280" s="193" t="str">
        <f t="shared" si="85"/>
        <v>刘清如412725197701181111</v>
      </c>
      <c r="E280" s="166" t="s">
        <v>1041</v>
      </c>
      <c r="F280" s="156"/>
      <c r="G280" s="115">
        <v>2</v>
      </c>
      <c r="H280" s="115">
        <v>20</v>
      </c>
      <c r="I280" s="115"/>
      <c r="J280" s="115">
        <v>2009</v>
      </c>
      <c r="K280" s="115">
        <v>47.97</v>
      </c>
      <c r="L280" s="239">
        <v>30000</v>
      </c>
      <c r="M280" s="239"/>
      <c r="N280" s="239"/>
      <c r="O280" s="431">
        <v>14780.07</v>
      </c>
      <c r="P280" s="239">
        <v>709000</v>
      </c>
      <c r="Q280" s="445" t="s">
        <v>66</v>
      </c>
      <c r="R280" s="115">
        <v>359000</v>
      </c>
      <c r="S280" s="115"/>
      <c r="T280" s="445">
        <v>350000</v>
      </c>
      <c r="U280" s="115"/>
      <c r="V280" s="115"/>
      <c r="W280" s="115">
        <v>3118</v>
      </c>
      <c r="X280" s="115">
        <v>550</v>
      </c>
      <c r="Y280" s="115"/>
      <c r="Z280" s="115" t="s">
        <v>48</v>
      </c>
      <c r="AA280" s="115"/>
      <c r="AB280" s="115"/>
      <c r="AC280" s="115"/>
      <c r="AD280" s="115"/>
      <c r="AE280" s="115"/>
      <c r="AF280" s="291"/>
      <c r="AG280" s="246">
        <v>43281</v>
      </c>
      <c r="AH280" s="133">
        <v>362668</v>
      </c>
      <c r="AI280" s="132">
        <f t="shared" si="92"/>
        <v>362668</v>
      </c>
      <c r="AJ280" s="132">
        <f t="shared" si="93"/>
        <v>362668</v>
      </c>
      <c r="AK280" s="132">
        <f t="shared" si="94"/>
        <v>0</v>
      </c>
      <c r="AL280" s="176"/>
      <c r="AM280" s="133" t="s">
        <v>900</v>
      </c>
      <c r="AN280" s="246">
        <v>44843</v>
      </c>
      <c r="AO280" s="259"/>
    </row>
    <row r="281" s="187" customFormat="1" customHeight="1" spans="1:41">
      <c r="A281" s="115" t="s">
        <v>1042</v>
      </c>
      <c r="B281" s="115" t="s">
        <v>1043</v>
      </c>
      <c r="C281" s="193" t="s">
        <v>1044</v>
      </c>
      <c r="D281" s="193" t="str">
        <f t="shared" si="85"/>
        <v>宋洋410105198104251622</v>
      </c>
      <c r="E281" s="155" t="s">
        <v>1045</v>
      </c>
      <c r="F281" s="115"/>
      <c r="G281" s="115">
        <v>9</v>
      </c>
      <c r="H281" s="115">
        <v>3</v>
      </c>
      <c r="I281" s="115">
        <v>6</v>
      </c>
      <c r="J281" s="115">
        <v>602</v>
      </c>
      <c r="K281" s="115">
        <v>99.56</v>
      </c>
      <c r="L281" s="115">
        <v>19520</v>
      </c>
      <c r="M281" s="115"/>
      <c r="N281" s="115"/>
      <c r="O281" s="431">
        <v>16520</v>
      </c>
      <c r="P281" s="115">
        <f>ROUND(O281*K281,0)</f>
        <v>1644731</v>
      </c>
      <c r="Q281" s="115" t="s">
        <v>66</v>
      </c>
      <c r="R281" s="115">
        <v>824731</v>
      </c>
      <c r="S281" s="115"/>
      <c r="T281" s="115">
        <v>820000.2</v>
      </c>
      <c r="U281" s="115"/>
      <c r="V281" s="115"/>
      <c r="W281" s="115">
        <v>6471</v>
      </c>
      <c r="X281" s="115">
        <v>80</v>
      </c>
      <c r="Y281" s="115"/>
      <c r="Z281" s="115"/>
      <c r="AA281" s="115"/>
      <c r="AB281" s="115"/>
      <c r="AC281" s="115"/>
      <c r="AD281" s="115"/>
      <c r="AE281" s="291"/>
      <c r="AF281" s="246"/>
      <c r="AG281" s="246">
        <v>43187</v>
      </c>
      <c r="AH281" s="133">
        <f>AJ281</f>
        <v>831282</v>
      </c>
      <c r="AI281" s="132">
        <f t="shared" si="92"/>
        <v>831282</v>
      </c>
      <c r="AJ281" s="132">
        <f t="shared" si="93"/>
        <v>831282</v>
      </c>
      <c r="AK281" s="132">
        <f t="shared" si="94"/>
        <v>0</v>
      </c>
      <c r="AL281" s="133"/>
      <c r="AM281" s="133" t="s">
        <v>886</v>
      </c>
      <c r="AN281" s="246">
        <v>44843</v>
      </c>
      <c r="AO281" s="259"/>
    </row>
    <row r="282" s="187" customFormat="1" customHeight="1" spans="1:44">
      <c r="A282" s="115" t="s">
        <v>1046</v>
      </c>
      <c r="B282" s="115" t="s">
        <v>1047</v>
      </c>
      <c r="C282" s="193" t="s">
        <v>1048</v>
      </c>
      <c r="D282" s="193" t="str">
        <f t="shared" si="85"/>
        <v>王萌411403198706180926</v>
      </c>
      <c r="E282" s="115" t="s">
        <v>1049</v>
      </c>
      <c r="F282" s="291"/>
      <c r="G282" s="115">
        <v>11</v>
      </c>
      <c r="H282" s="115">
        <v>3</v>
      </c>
      <c r="I282" s="115">
        <v>14</v>
      </c>
      <c r="J282" s="115">
        <v>1403</v>
      </c>
      <c r="K282" s="115">
        <v>151.44</v>
      </c>
      <c r="L282" s="115">
        <v>19270</v>
      </c>
      <c r="M282" s="181"/>
      <c r="N282" s="181"/>
      <c r="O282" s="431">
        <v>15000</v>
      </c>
      <c r="P282" s="115">
        <v>2271600</v>
      </c>
      <c r="Q282" s="115" t="s">
        <v>56</v>
      </c>
      <c r="R282" s="115">
        <v>2271600</v>
      </c>
      <c r="S282" s="115"/>
      <c r="T282" s="115" t="s">
        <v>47</v>
      </c>
      <c r="U282" s="115"/>
      <c r="V282" s="133"/>
      <c r="W282" s="133">
        <v>9843</v>
      </c>
      <c r="X282" s="133">
        <v>80</v>
      </c>
      <c r="Y282" s="115"/>
      <c r="Z282" s="115" t="s">
        <v>48</v>
      </c>
      <c r="AA282" s="133"/>
      <c r="AB282" s="115"/>
      <c r="AC282" s="115"/>
      <c r="AD282" s="115"/>
      <c r="AE282" s="115"/>
      <c r="AF282" s="291"/>
      <c r="AG282" s="246">
        <v>43181</v>
      </c>
      <c r="AH282" s="133">
        <f>W282+X282</f>
        <v>9923</v>
      </c>
      <c r="AI282" s="132">
        <f t="shared" si="92"/>
        <v>2281523</v>
      </c>
      <c r="AJ282" s="132">
        <f t="shared" si="93"/>
        <v>2281523</v>
      </c>
      <c r="AK282" s="132">
        <f t="shared" si="94"/>
        <v>0</v>
      </c>
      <c r="AL282" s="176"/>
      <c r="AM282" s="133" t="s">
        <v>854</v>
      </c>
      <c r="AN282" s="246">
        <v>44843</v>
      </c>
      <c r="AO282" s="259"/>
      <c r="AP282" s="96"/>
      <c r="AQ282" s="96"/>
      <c r="AR282" s="96"/>
    </row>
    <row r="283" s="187" customFormat="1" customHeight="1" spans="1:41">
      <c r="A283" s="115" t="s">
        <v>1050</v>
      </c>
      <c r="B283" s="107" t="s">
        <v>1051</v>
      </c>
      <c r="C283" s="166" t="s">
        <v>1052</v>
      </c>
      <c r="D283" s="193" t="str">
        <f t="shared" si="85"/>
        <v>陈慧芳41140319841219752X</v>
      </c>
      <c r="E283" s="166" t="s">
        <v>1053</v>
      </c>
      <c r="F283" s="156"/>
      <c r="G283" s="115">
        <v>3</v>
      </c>
      <c r="H283" s="115">
        <v>21</v>
      </c>
      <c r="I283" s="115"/>
      <c r="J283" s="115">
        <v>2124</v>
      </c>
      <c r="K283" s="115">
        <v>58.01</v>
      </c>
      <c r="L283" s="115">
        <v>20000</v>
      </c>
      <c r="M283" s="115"/>
      <c r="N283" s="115"/>
      <c r="O283" s="431">
        <v>10500</v>
      </c>
      <c r="P283" s="445">
        <v>609105</v>
      </c>
      <c r="Q283" s="445" t="s">
        <v>56</v>
      </c>
      <c r="R283" s="448">
        <v>609105</v>
      </c>
      <c r="S283" s="448"/>
      <c r="T283" s="293" t="s">
        <v>47</v>
      </c>
      <c r="U283" s="293"/>
      <c r="V283" s="293"/>
      <c r="W283" s="293">
        <v>3770</v>
      </c>
      <c r="X283" s="293">
        <v>550</v>
      </c>
      <c r="Y283" s="293"/>
      <c r="Z283" s="115" t="s">
        <v>48</v>
      </c>
      <c r="AA283" s="115"/>
      <c r="AB283" s="115"/>
      <c r="AC283" s="115"/>
      <c r="AD283" s="115"/>
      <c r="AE283" s="115"/>
      <c r="AF283" s="291"/>
      <c r="AG283" s="246">
        <v>42826</v>
      </c>
      <c r="AH283" s="133"/>
      <c r="AI283" s="132">
        <f t="shared" si="92"/>
        <v>613425</v>
      </c>
      <c r="AJ283" s="132">
        <f t="shared" si="93"/>
        <v>613425</v>
      </c>
      <c r="AK283" s="132">
        <f t="shared" si="94"/>
        <v>0</v>
      </c>
      <c r="AL283" s="176"/>
      <c r="AM283" s="133" t="s">
        <v>900</v>
      </c>
      <c r="AN283" s="246">
        <v>44843</v>
      </c>
      <c r="AO283" s="259"/>
    </row>
    <row r="284" s="187" customFormat="1" customHeight="1" spans="1:44">
      <c r="A284" s="115" t="s">
        <v>1054</v>
      </c>
      <c r="B284" s="115" t="s">
        <v>1055</v>
      </c>
      <c r="C284" s="193" t="s">
        <v>1056</v>
      </c>
      <c r="D284" s="193" t="str">
        <f t="shared" si="85"/>
        <v>付群芝412723197101208146</v>
      </c>
      <c r="E284" s="115" t="s">
        <v>1057</v>
      </c>
      <c r="F284" s="291"/>
      <c r="G284" s="115">
        <v>2</v>
      </c>
      <c r="H284" s="115">
        <v>10</v>
      </c>
      <c r="I284" s="115"/>
      <c r="J284" s="115">
        <v>1017</v>
      </c>
      <c r="K284" s="115">
        <v>49.74</v>
      </c>
      <c r="L284" s="115">
        <v>20000</v>
      </c>
      <c r="M284" s="181"/>
      <c r="N284" s="181"/>
      <c r="O284" s="431">
        <v>10000</v>
      </c>
      <c r="P284" s="115">
        <v>497400</v>
      </c>
      <c r="Q284" s="115" t="s">
        <v>66</v>
      </c>
      <c r="R284" s="115">
        <v>257400</v>
      </c>
      <c r="S284" s="115"/>
      <c r="T284" s="115">
        <v>240000</v>
      </c>
      <c r="U284" s="115"/>
      <c r="V284" s="133"/>
      <c r="W284" s="133">
        <v>3233</v>
      </c>
      <c r="X284" s="133">
        <v>550</v>
      </c>
      <c r="Y284" s="115"/>
      <c r="Z284" s="115" t="s">
        <v>48</v>
      </c>
      <c r="AA284" s="133"/>
      <c r="AB284" s="115">
        <v>1574</v>
      </c>
      <c r="AC284" s="115"/>
      <c r="AD284" s="115"/>
      <c r="AE284" s="115"/>
      <c r="AF284" s="291"/>
      <c r="AG284" s="246">
        <v>43073</v>
      </c>
      <c r="AH284" s="133">
        <f>R284+W284+X284</f>
        <v>261183</v>
      </c>
      <c r="AI284" s="132">
        <f t="shared" si="92"/>
        <v>262757</v>
      </c>
      <c r="AJ284" s="132">
        <f t="shared" si="93"/>
        <v>261183</v>
      </c>
      <c r="AK284" s="132">
        <f t="shared" si="94"/>
        <v>1574</v>
      </c>
      <c r="AL284" s="176"/>
      <c r="AM284" s="133" t="s">
        <v>854</v>
      </c>
      <c r="AN284" s="246">
        <v>44843</v>
      </c>
      <c r="AO284" s="259"/>
      <c r="AP284" s="96"/>
      <c r="AQ284" s="96"/>
      <c r="AR284" s="96"/>
    </row>
    <row r="285" s="187" customFormat="1" customHeight="1" spans="1:41">
      <c r="A285" s="115" t="s">
        <v>1058</v>
      </c>
      <c r="B285" s="115" t="s">
        <v>1059</v>
      </c>
      <c r="C285" s="546" t="s">
        <v>1060</v>
      </c>
      <c r="D285" s="193" t="str">
        <f t="shared" si="85"/>
        <v>张颖、王现锋411425198701174832</v>
      </c>
      <c r="E285" s="155">
        <v>18638006861</v>
      </c>
      <c r="F285" s="115"/>
      <c r="G285" s="115">
        <v>6</v>
      </c>
      <c r="H285" s="115">
        <v>1</v>
      </c>
      <c r="I285" s="115">
        <v>22</v>
      </c>
      <c r="J285" s="115">
        <v>2206</v>
      </c>
      <c r="K285" s="115">
        <v>86.33</v>
      </c>
      <c r="L285" s="115">
        <v>17900</v>
      </c>
      <c r="M285" s="115"/>
      <c r="N285" s="115"/>
      <c r="O285" s="431">
        <v>15000</v>
      </c>
      <c r="P285" s="115">
        <f>ROUND(O285*K285,0)</f>
        <v>1294950</v>
      </c>
      <c r="Q285" s="115" t="s">
        <v>66</v>
      </c>
      <c r="R285" s="115">
        <v>669000</v>
      </c>
      <c r="S285" s="115"/>
      <c r="T285" s="115">
        <v>625950</v>
      </c>
      <c r="U285" s="115"/>
      <c r="V285" s="115"/>
      <c r="W285" s="115"/>
      <c r="X285" s="115"/>
      <c r="Y285" s="115"/>
      <c r="Z285" s="115"/>
      <c r="AA285" s="115"/>
      <c r="AB285" s="115"/>
      <c r="AC285" s="115"/>
      <c r="AD285" s="115"/>
      <c r="AE285" s="291"/>
      <c r="AF285" s="246"/>
      <c r="AG285" s="246">
        <v>42844</v>
      </c>
      <c r="AH285" s="133">
        <f>AJ285</f>
        <v>669000</v>
      </c>
      <c r="AI285" s="132">
        <f t="shared" si="92"/>
        <v>669000</v>
      </c>
      <c r="AJ285" s="132">
        <f t="shared" si="93"/>
        <v>669000</v>
      </c>
      <c r="AK285" s="132">
        <f t="shared" si="94"/>
        <v>0</v>
      </c>
      <c r="AL285" s="133"/>
      <c r="AM285" s="133" t="s">
        <v>886</v>
      </c>
      <c r="AN285" s="246">
        <v>44843</v>
      </c>
      <c r="AO285" s="259"/>
    </row>
    <row r="286" s="187" customFormat="1" customHeight="1" spans="1:41">
      <c r="A286" s="115" t="s">
        <v>1061</v>
      </c>
      <c r="B286" s="115" t="s">
        <v>1062</v>
      </c>
      <c r="C286" s="193" t="s">
        <v>1063</v>
      </c>
      <c r="D286" s="193" t="str">
        <f t="shared" si="85"/>
        <v>焦瑞41010219791120102X</v>
      </c>
      <c r="E286" s="155">
        <v>15837113690</v>
      </c>
      <c r="F286" s="115"/>
      <c r="G286" s="115">
        <v>6</v>
      </c>
      <c r="H286" s="115">
        <v>1</v>
      </c>
      <c r="I286" s="115">
        <v>7</v>
      </c>
      <c r="J286" s="115">
        <v>707</v>
      </c>
      <c r="K286" s="115">
        <v>86.33</v>
      </c>
      <c r="L286" s="115">
        <v>19430</v>
      </c>
      <c r="M286" s="115"/>
      <c r="N286" s="115"/>
      <c r="O286" s="431">
        <v>16000</v>
      </c>
      <c r="P286" s="115">
        <f>ROUND(O286*K286,0)</f>
        <v>1381280</v>
      </c>
      <c r="Q286" s="115" t="s">
        <v>46</v>
      </c>
      <c r="R286" s="115">
        <v>981280</v>
      </c>
      <c r="S286" s="115"/>
      <c r="T286" s="115" t="s">
        <v>47</v>
      </c>
      <c r="U286" s="115"/>
      <c r="V286" s="115">
        <v>400000</v>
      </c>
      <c r="W286" s="115">
        <v>5611</v>
      </c>
      <c r="X286" s="115">
        <v>80</v>
      </c>
      <c r="Y286" s="115" t="s">
        <v>48</v>
      </c>
      <c r="Z286" s="115"/>
      <c r="AA286" s="115"/>
      <c r="AB286" s="115"/>
      <c r="AC286" s="115"/>
      <c r="AD286" s="115"/>
      <c r="AE286" s="291"/>
      <c r="AF286" s="246"/>
      <c r="AG286" s="246">
        <v>43231</v>
      </c>
      <c r="AH286" s="133">
        <f>R286+W286+X286</f>
        <v>986971</v>
      </c>
      <c r="AI286" s="132">
        <f t="shared" si="92"/>
        <v>1386971</v>
      </c>
      <c r="AJ286" s="132">
        <f t="shared" si="93"/>
        <v>1386971</v>
      </c>
      <c r="AK286" s="132">
        <f t="shared" si="94"/>
        <v>0</v>
      </c>
      <c r="AL286" s="133"/>
      <c r="AM286" s="133" t="s">
        <v>886</v>
      </c>
      <c r="AN286" s="246">
        <v>44843</v>
      </c>
      <c r="AO286" s="259"/>
    </row>
    <row r="287" s="187" customFormat="1" customHeight="1" spans="1:44">
      <c r="A287" s="115" t="s">
        <v>1064</v>
      </c>
      <c r="B287" s="115" t="s">
        <v>1065</v>
      </c>
      <c r="C287" s="193" t="s">
        <v>1066</v>
      </c>
      <c r="D287" s="193" t="str">
        <f t="shared" si="85"/>
        <v>黄玉冉410926199409284425</v>
      </c>
      <c r="E287" s="115">
        <v>18003810023</v>
      </c>
      <c r="F287" s="291"/>
      <c r="G287" s="115">
        <v>3</v>
      </c>
      <c r="H287" s="115">
        <v>8</v>
      </c>
      <c r="I287" s="115"/>
      <c r="J287" s="115">
        <v>821</v>
      </c>
      <c r="K287" s="115">
        <v>71.53</v>
      </c>
      <c r="L287" s="115">
        <v>20000</v>
      </c>
      <c r="M287" s="181"/>
      <c r="N287" s="181"/>
      <c r="O287" s="431">
        <v>8565.99</v>
      </c>
      <c r="P287" s="115">
        <v>612725</v>
      </c>
      <c r="Q287" s="115" t="s">
        <v>66</v>
      </c>
      <c r="R287" s="115">
        <v>312725</v>
      </c>
      <c r="S287" s="115"/>
      <c r="T287" s="115" t="s">
        <v>47</v>
      </c>
      <c r="U287" s="115"/>
      <c r="V287" s="133">
        <v>300000</v>
      </c>
      <c r="W287" s="133">
        <v>4649</v>
      </c>
      <c r="X287" s="133">
        <v>550</v>
      </c>
      <c r="Y287" s="115"/>
      <c r="Z287" s="115" t="s">
        <v>48</v>
      </c>
      <c r="AA287" s="133"/>
      <c r="AB287" s="115"/>
      <c r="AC287" s="115"/>
      <c r="AD287" s="115"/>
      <c r="AE287" s="115"/>
      <c r="AF287" s="291"/>
      <c r="AG287" s="246">
        <v>43067</v>
      </c>
      <c r="AH287" s="133">
        <f>R287+W287+X287</f>
        <v>317924</v>
      </c>
      <c r="AI287" s="132">
        <f t="shared" si="92"/>
        <v>617924</v>
      </c>
      <c r="AJ287" s="132">
        <f t="shared" si="93"/>
        <v>617924</v>
      </c>
      <c r="AK287" s="132">
        <f t="shared" si="94"/>
        <v>0</v>
      </c>
      <c r="AL287" s="176"/>
      <c r="AM287" s="133" t="s">
        <v>854</v>
      </c>
      <c r="AN287" s="246">
        <v>44843</v>
      </c>
      <c r="AO287" s="259"/>
      <c r="AP287" s="96"/>
      <c r="AQ287" s="96"/>
      <c r="AR287" s="96"/>
    </row>
    <row r="288" s="187" customFormat="1" customHeight="1" spans="1:44">
      <c r="A288" s="115" t="s">
        <v>1067</v>
      </c>
      <c r="B288" s="115" t="s">
        <v>1068</v>
      </c>
      <c r="C288" s="193" t="s">
        <v>1069</v>
      </c>
      <c r="D288" s="193" t="str">
        <f t="shared" si="85"/>
        <v>魏玉霞410105195911293868</v>
      </c>
      <c r="E288" s="115">
        <v>13838067011</v>
      </c>
      <c r="F288" s="291"/>
      <c r="G288" s="115">
        <v>3</v>
      </c>
      <c r="H288" s="115">
        <v>12</v>
      </c>
      <c r="I288" s="115"/>
      <c r="J288" s="115">
        <v>1215</v>
      </c>
      <c r="K288" s="115">
        <v>69.88</v>
      </c>
      <c r="L288" s="115">
        <v>20000</v>
      </c>
      <c r="M288" s="181"/>
      <c r="N288" s="181"/>
      <c r="O288" s="431">
        <v>8749.23</v>
      </c>
      <c r="P288" s="115">
        <v>611396</v>
      </c>
      <c r="Q288" s="115" t="s">
        <v>66</v>
      </c>
      <c r="R288" s="115">
        <v>311396</v>
      </c>
      <c r="S288" s="115"/>
      <c r="T288" s="115">
        <v>300000</v>
      </c>
      <c r="U288" s="115"/>
      <c r="V288" s="133"/>
      <c r="W288" s="133">
        <v>4542</v>
      </c>
      <c r="X288" s="133">
        <v>550</v>
      </c>
      <c r="Y288" s="115"/>
      <c r="Z288" s="115"/>
      <c r="AA288" s="133"/>
      <c r="AB288" s="115"/>
      <c r="AC288" s="115"/>
      <c r="AD288" s="115"/>
      <c r="AE288" s="115"/>
      <c r="AF288" s="291"/>
      <c r="AG288" s="246">
        <v>43058</v>
      </c>
      <c r="AH288" s="133">
        <f>R288+W288+X288</f>
        <v>316488</v>
      </c>
      <c r="AI288" s="132">
        <f t="shared" si="92"/>
        <v>316488</v>
      </c>
      <c r="AJ288" s="132">
        <f t="shared" si="93"/>
        <v>316488</v>
      </c>
      <c r="AK288" s="132">
        <f t="shared" si="94"/>
        <v>0</v>
      </c>
      <c r="AL288" s="176"/>
      <c r="AM288" s="133" t="s">
        <v>854</v>
      </c>
      <c r="AN288" s="246">
        <v>44843</v>
      </c>
      <c r="AO288" s="259"/>
      <c r="AP288" s="96"/>
      <c r="AQ288" s="96"/>
      <c r="AR288" s="96"/>
    </row>
    <row r="289" s="96" customFormat="1" customHeight="1" spans="1:41">
      <c r="A289" s="115" t="s">
        <v>1070</v>
      </c>
      <c r="B289" s="107" t="s">
        <v>1071</v>
      </c>
      <c r="C289" s="166" t="s">
        <v>1072</v>
      </c>
      <c r="D289" s="193" t="str">
        <f t="shared" si="85"/>
        <v>韩风姣410526196507152025</v>
      </c>
      <c r="E289" s="166" t="s">
        <v>1073</v>
      </c>
      <c r="F289" s="156"/>
      <c r="G289" s="115">
        <v>3</v>
      </c>
      <c r="H289" s="115">
        <v>23</v>
      </c>
      <c r="I289" s="115"/>
      <c r="J289" s="115">
        <v>2328</v>
      </c>
      <c r="K289" s="115">
        <v>64.13</v>
      </c>
      <c r="L289" s="115">
        <v>30000</v>
      </c>
      <c r="M289" s="115"/>
      <c r="N289" s="115"/>
      <c r="O289" s="431">
        <v>14875.55</v>
      </c>
      <c r="P289" s="445">
        <v>953969</v>
      </c>
      <c r="Q289" s="445" t="s">
        <v>66</v>
      </c>
      <c r="R289" s="448">
        <v>483969</v>
      </c>
      <c r="S289" s="448"/>
      <c r="T289" s="445">
        <v>470000</v>
      </c>
      <c r="U289" s="293"/>
      <c r="V289" s="293"/>
      <c r="W289" s="293">
        <v>4168</v>
      </c>
      <c r="X289" s="293">
        <v>550</v>
      </c>
      <c r="Y289" s="293"/>
      <c r="Z289" s="115"/>
      <c r="AA289" s="246"/>
      <c r="AB289" s="115"/>
      <c r="AC289" s="115"/>
      <c r="AD289" s="115"/>
      <c r="AE289" s="115"/>
      <c r="AF289" s="291"/>
      <c r="AG289" s="246">
        <v>43160</v>
      </c>
      <c r="AH289" s="133">
        <v>488687</v>
      </c>
      <c r="AI289" s="132">
        <f t="shared" si="92"/>
        <v>488687</v>
      </c>
      <c r="AJ289" s="132">
        <f t="shared" si="93"/>
        <v>488687</v>
      </c>
      <c r="AK289" s="132">
        <f t="shared" si="94"/>
        <v>0</v>
      </c>
      <c r="AL289" s="176" t="s">
        <v>1074</v>
      </c>
      <c r="AM289" s="133" t="s">
        <v>900</v>
      </c>
      <c r="AN289" s="246">
        <v>44843</v>
      </c>
      <c r="AO289" s="259"/>
    </row>
    <row r="290" s="96" customFormat="1" customHeight="1" spans="1:41">
      <c r="A290" s="115" t="s">
        <v>1075</v>
      </c>
      <c r="B290" s="107" t="s">
        <v>1076</v>
      </c>
      <c r="C290" s="166" t="s">
        <v>1077</v>
      </c>
      <c r="D290" s="193" t="str">
        <f t="shared" si="85"/>
        <v>李小惠410426197908201026</v>
      </c>
      <c r="E290" s="166">
        <v>13837181685</v>
      </c>
      <c r="F290" s="156"/>
      <c r="G290" s="115">
        <v>3</v>
      </c>
      <c r="H290" s="115">
        <v>8</v>
      </c>
      <c r="I290" s="115"/>
      <c r="J290" s="115">
        <v>832</v>
      </c>
      <c r="K290" s="115">
        <v>55.78</v>
      </c>
      <c r="L290" s="115">
        <v>20000</v>
      </c>
      <c r="M290" s="115"/>
      <c r="N290" s="115"/>
      <c r="O290" s="431">
        <v>9823.18</v>
      </c>
      <c r="P290" s="445">
        <v>547937</v>
      </c>
      <c r="Q290" s="445" t="s">
        <v>66</v>
      </c>
      <c r="R290" s="448">
        <v>277937</v>
      </c>
      <c r="S290" s="448"/>
      <c r="T290" s="445" t="s">
        <v>47</v>
      </c>
      <c r="U290" s="293"/>
      <c r="V290" s="293">
        <v>270000</v>
      </c>
      <c r="W290" s="293">
        <v>3625</v>
      </c>
      <c r="X290" s="293">
        <v>550</v>
      </c>
      <c r="Y290" s="293"/>
      <c r="Z290" s="115" t="s">
        <v>48</v>
      </c>
      <c r="AA290" s="246"/>
      <c r="AB290" s="115">
        <v>1577</v>
      </c>
      <c r="AC290" s="115"/>
      <c r="AD290" s="115"/>
      <c r="AE290" s="115"/>
      <c r="AF290" s="291"/>
      <c r="AG290" s="246">
        <v>43110</v>
      </c>
      <c r="AH290" s="133">
        <v>282112</v>
      </c>
      <c r="AI290" s="132">
        <f t="shared" si="92"/>
        <v>553689</v>
      </c>
      <c r="AJ290" s="132">
        <f t="shared" si="93"/>
        <v>552112</v>
      </c>
      <c r="AK290" s="132">
        <f t="shared" si="94"/>
        <v>1577</v>
      </c>
      <c r="AL290" s="176"/>
      <c r="AM290" s="133" t="s">
        <v>900</v>
      </c>
      <c r="AN290" s="246">
        <v>44843</v>
      </c>
      <c r="AO290" s="259"/>
    </row>
    <row r="291" s="96" customFormat="1" customHeight="1" spans="1:41">
      <c r="A291" s="115" t="s">
        <v>1078</v>
      </c>
      <c r="B291" s="115" t="s">
        <v>1079</v>
      </c>
      <c r="C291" s="193" t="s">
        <v>1080</v>
      </c>
      <c r="D291" s="193" t="str">
        <f t="shared" si="85"/>
        <v>张洋410105199112120037</v>
      </c>
      <c r="E291" s="115">
        <v>18937114003</v>
      </c>
      <c r="F291" s="291"/>
      <c r="G291" s="115">
        <v>6</v>
      </c>
      <c r="H291" s="115">
        <v>1</v>
      </c>
      <c r="I291" s="115">
        <v>10</v>
      </c>
      <c r="J291" s="115">
        <v>1008</v>
      </c>
      <c r="K291" s="115">
        <v>109.13</v>
      </c>
      <c r="L291" s="115">
        <v>17900</v>
      </c>
      <c r="M291" s="181"/>
      <c r="N291" s="181"/>
      <c r="O291" s="431">
        <v>14500</v>
      </c>
      <c r="P291" s="115">
        <v>1582385</v>
      </c>
      <c r="Q291" s="115" t="s">
        <v>66</v>
      </c>
      <c r="R291" s="115">
        <v>812385</v>
      </c>
      <c r="S291" s="115"/>
      <c r="T291" s="115" t="s">
        <v>47</v>
      </c>
      <c r="U291" s="115"/>
      <c r="V291" s="133">
        <v>770000</v>
      </c>
      <c r="W291" s="133">
        <v>7093</v>
      </c>
      <c r="X291" s="133">
        <v>80</v>
      </c>
      <c r="Y291" s="115"/>
      <c r="Z291" s="115" t="s">
        <v>48</v>
      </c>
      <c r="AA291" s="133"/>
      <c r="AB291" s="115">
        <v>1157</v>
      </c>
      <c r="AC291" s="115"/>
      <c r="AD291" s="115"/>
      <c r="AE291" s="115"/>
      <c r="AF291" s="291"/>
      <c r="AG291" s="246">
        <v>43090</v>
      </c>
      <c r="AH291" s="133"/>
      <c r="AI291" s="132">
        <f t="shared" si="92"/>
        <v>1590715</v>
      </c>
      <c r="AJ291" s="132">
        <f t="shared" si="93"/>
        <v>1589558</v>
      </c>
      <c r="AK291" s="132">
        <f t="shared" si="94"/>
        <v>1157</v>
      </c>
      <c r="AL291" s="176"/>
      <c r="AM291" s="133" t="s">
        <v>854</v>
      </c>
      <c r="AN291" s="246">
        <v>44844</v>
      </c>
      <c r="AO291" s="259"/>
    </row>
    <row r="292" s="96" customFormat="1" customHeight="1" spans="1:41">
      <c r="A292" s="115" t="s">
        <v>1081</v>
      </c>
      <c r="B292" s="155" t="s">
        <v>1082</v>
      </c>
      <c r="C292" s="166" t="s">
        <v>1083</v>
      </c>
      <c r="D292" s="193" t="str">
        <f t="shared" si="85"/>
        <v>张燕411330198906121561</v>
      </c>
      <c r="E292" s="166" t="s">
        <v>1084</v>
      </c>
      <c r="F292" s="156"/>
      <c r="G292" s="239">
        <v>6</v>
      </c>
      <c r="H292" s="115">
        <v>1</v>
      </c>
      <c r="I292" s="115">
        <v>6</v>
      </c>
      <c r="J292" s="115">
        <v>606</v>
      </c>
      <c r="K292" s="115">
        <v>86.33</v>
      </c>
      <c r="L292" s="115">
        <v>19430</v>
      </c>
      <c r="M292" s="115"/>
      <c r="N292" s="115"/>
      <c r="O292" s="431">
        <v>18996.51</v>
      </c>
      <c r="P292" s="445">
        <v>1639969</v>
      </c>
      <c r="Q292" s="445" t="s">
        <v>66</v>
      </c>
      <c r="R292" s="115">
        <v>829969</v>
      </c>
      <c r="S292" s="115"/>
      <c r="T292" s="445">
        <v>809999.7083</v>
      </c>
      <c r="U292" s="115"/>
      <c r="V292" s="115"/>
      <c r="W292" s="115">
        <v>5611</v>
      </c>
      <c r="X292" s="115">
        <v>80</v>
      </c>
      <c r="Y292" s="115"/>
      <c r="Z292" s="115"/>
      <c r="AA292" s="246"/>
      <c r="AB292" s="115"/>
      <c r="AC292" s="115"/>
      <c r="AD292" s="115"/>
      <c r="AE292" s="181"/>
      <c r="AF292" s="181"/>
      <c r="AG292" s="246">
        <v>43274</v>
      </c>
      <c r="AH292" s="134">
        <f>R292+W292+X292</f>
        <v>835660</v>
      </c>
      <c r="AI292" s="132">
        <f t="shared" si="92"/>
        <v>835660</v>
      </c>
      <c r="AJ292" s="132">
        <f t="shared" si="93"/>
        <v>835660</v>
      </c>
      <c r="AK292" s="132">
        <f t="shared" si="94"/>
        <v>0</v>
      </c>
      <c r="AL292" s="181"/>
      <c r="AM292" s="115" t="s">
        <v>974</v>
      </c>
      <c r="AN292" s="246">
        <v>44844</v>
      </c>
      <c r="AO292" s="259"/>
    </row>
    <row r="293" s="96" customFormat="1" customHeight="1" spans="1:41">
      <c r="A293" s="115" t="s">
        <v>1085</v>
      </c>
      <c r="B293" s="115" t="s">
        <v>1086</v>
      </c>
      <c r="C293" s="193" t="s">
        <v>1087</v>
      </c>
      <c r="D293" s="193" t="str">
        <f t="shared" si="85"/>
        <v>刘垚峰410928198103010091</v>
      </c>
      <c r="E293" s="115" t="s">
        <v>1088</v>
      </c>
      <c r="F293" s="291"/>
      <c r="G293" s="115">
        <v>6</v>
      </c>
      <c r="H293" s="115">
        <v>1</v>
      </c>
      <c r="I293" s="115">
        <v>23</v>
      </c>
      <c r="J293" s="115">
        <v>2306</v>
      </c>
      <c r="K293" s="115">
        <v>86.33</v>
      </c>
      <c r="L293" s="115">
        <v>12600</v>
      </c>
      <c r="M293" s="181"/>
      <c r="N293" s="181"/>
      <c r="O293" s="431">
        <v>12500</v>
      </c>
      <c r="P293" s="115">
        <v>1079125</v>
      </c>
      <c r="Q293" s="115" t="s">
        <v>56</v>
      </c>
      <c r="R293" s="115">
        <v>1115000</v>
      </c>
      <c r="S293" s="115">
        <v>-35875</v>
      </c>
      <c r="T293" s="115"/>
      <c r="U293" s="115"/>
      <c r="V293" s="133"/>
      <c r="W293" s="133"/>
      <c r="X293" s="133"/>
      <c r="Y293" s="115"/>
      <c r="Z293" s="115"/>
      <c r="AA293" s="133"/>
      <c r="AB293" s="115"/>
      <c r="AC293" s="115"/>
      <c r="AD293" s="115"/>
      <c r="AE293" s="115"/>
      <c r="AF293" s="291"/>
      <c r="AG293" s="246">
        <v>42902</v>
      </c>
      <c r="AH293" s="133">
        <v>1115000</v>
      </c>
      <c r="AI293" s="132">
        <f t="shared" si="92"/>
        <v>1115000</v>
      </c>
      <c r="AJ293" s="132">
        <f t="shared" si="93"/>
        <v>1115000</v>
      </c>
      <c r="AK293" s="132">
        <f t="shared" si="94"/>
        <v>0</v>
      </c>
      <c r="AL293" s="176"/>
      <c r="AM293" s="133" t="s">
        <v>854</v>
      </c>
      <c r="AN293" s="246">
        <v>44844</v>
      </c>
      <c r="AO293" s="259"/>
    </row>
    <row r="294" s="96" customFormat="1" customHeight="1" spans="1:41">
      <c r="A294" s="115" t="s">
        <v>1089</v>
      </c>
      <c r="B294" s="115" t="s">
        <v>1090</v>
      </c>
      <c r="C294" s="193" t="s">
        <v>1091</v>
      </c>
      <c r="D294" s="193" t="str">
        <f t="shared" si="85"/>
        <v>杨铁娜411303198005282449</v>
      </c>
      <c r="E294" s="115">
        <v>13938270567</v>
      </c>
      <c r="F294" s="291"/>
      <c r="G294" s="115">
        <v>6</v>
      </c>
      <c r="H294" s="115">
        <v>1</v>
      </c>
      <c r="I294" s="115">
        <v>14</v>
      </c>
      <c r="J294" s="115">
        <v>1408</v>
      </c>
      <c r="K294" s="115">
        <v>109.13</v>
      </c>
      <c r="L294" s="115">
        <v>8100</v>
      </c>
      <c r="M294" s="181"/>
      <c r="N294" s="181"/>
      <c r="O294" s="431">
        <v>8000</v>
      </c>
      <c r="P294" s="115">
        <v>873040</v>
      </c>
      <c r="Q294" s="115" t="s">
        <v>56</v>
      </c>
      <c r="R294" s="115">
        <v>873040</v>
      </c>
      <c r="S294" s="115"/>
      <c r="T294" s="115" t="s">
        <v>47</v>
      </c>
      <c r="U294" s="115"/>
      <c r="V294" s="133"/>
      <c r="W294" s="133">
        <v>7093</v>
      </c>
      <c r="X294" s="133">
        <v>80</v>
      </c>
      <c r="Y294" s="115"/>
      <c r="Z294" s="115" t="s">
        <v>48</v>
      </c>
      <c r="AA294" s="133"/>
      <c r="AB294" s="115"/>
      <c r="AC294" s="115"/>
      <c r="AD294" s="115">
        <v>226960</v>
      </c>
      <c r="AE294" s="115"/>
      <c r="AF294" s="291"/>
      <c r="AG294" s="246">
        <v>43098</v>
      </c>
      <c r="AH294" s="133">
        <f>R294+W294+X294</f>
        <v>880213</v>
      </c>
      <c r="AI294" s="132">
        <f t="shared" si="92"/>
        <v>1107173</v>
      </c>
      <c r="AJ294" s="132">
        <f t="shared" si="93"/>
        <v>880213</v>
      </c>
      <c r="AK294" s="132">
        <f t="shared" si="94"/>
        <v>226960</v>
      </c>
      <c r="AL294" s="176" t="s">
        <v>1092</v>
      </c>
      <c r="AM294" s="133" t="s">
        <v>854</v>
      </c>
      <c r="AN294" s="246">
        <v>44844</v>
      </c>
      <c r="AO294" s="259"/>
    </row>
    <row r="295" s="96" customFormat="1" customHeight="1" spans="1:41">
      <c r="A295" s="115" t="s">
        <v>1093</v>
      </c>
      <c r="B295" s="115" t="s">
        <v>1094</v>
      </c>
      <c r="C295" s="115" t="s">
        <v>1095</v>
      </c>
      <c r="D295" s="193" t="str">
        <f t="shared" si="85"/>
        <v>李梅英410105198611030058</v>
      </c>
      <c r="E295" s="155" t="s">
        <v>1096</v>
      </c>
      <c r="F295" s="115"/>
      <c r="G295" s="115">
        <v>10</v>
      </c>
      <c r="H295" s="115">
        <v>2</v>
      </c>
      <c r="I295" s="115">
        <v>7</v>
      </c>
      <c r="J295" s="115">
        <v>705</v>
      </c>
      <c r="K295" s="115">
        <v>93.84</v>
      </c>
      <c r="L295" s="115">
        <v>9600</v>
      </c>
      <c r="M295" s="115"/>
      <c r="N295" s="115"/>
      <c r="O295" s="431">
        <v>9500</v>
      </c>
      <c r="P295" s="239">
        <v>891480</v>
      </c>
      <c r="Q295" s="445" t="s">
        <v>56</v>
      </c>
      <c r="R295" s="115">
        <v>931471</v>
      </c>
      <c r="S295" s="115">
        <v>-39991</v>
      </c>
      <c r="T295" s="445" t="s">
        <v>47</v>
      </c>
      <c r="U295" s="181"/>
      <c r="V295" s="115"/>
      <c r="W295" s="115">
        <v>6099</v>
      </c>
      <c r="X295" s="115">
        <v>80</v>
      </c>
      <c r="Y295" s="115"/>
      <c r="Z295" s="115" t="s">
        <v>48</v>
      </c>
      <c r="AA295" s="246"/>
      <c r="AB295" s="115"/>
      <c r="AC295" s="115"/>
      <c r="AD295" s="115"/>
      <c r="AE295" s="181"/>
      <c r="AF295" s="181"/>
      <c r="AG295" s="246">
        <v>42485</v>
      </c>
      <c r="AH295" s="181"/>
      <c r="AI295" s="132">
        <f t="shared" si="92"/>
        <v>937650</v>
      </c>
      <c r="AJ295" s="132">
        <f t="shared" si="93"/>
        <v>937650</v>
      </c>
      <c r="AK295" s="132">
        <f t="shared" si="94"/>
        <v>0</v>
      </c>
      <c r="AL295" s="181"/>
      <c r="AM295" s="115" t="s">
        <v>974</v>
      </c>
      <c r="AN295" s="246">
        <v>44844</v>
      </c>
      <c r="AO295" s="259"/>
    </row>
    <row r="296" s="96" customFormat="1" customHeight="1" spans="1:41">
      <c r="A296" s="115" t="s">
        <v>1097</v>
      </c>
      <c r="B296" s="106" t="s">
        <v>1098</v>
      </c>
      <c r="C296" s="444" t="s">
        <v>1099</v>
      </c>
      <c r="D296" s="193" t="str">
        <f t="shared" si="85"/>
        <v>李雪娜41130219801215350X</v>
      </c>
      <c r="E296" s="107">
        <v>18638572827</v>
      </c>
      <c r="F296" s="194"/>
      <c r="G296" s="106">
        <v>11</v>
      </c>
      <c r="H296" s="106">
        <v>3</v>
      </c>
      <c r="I296" s="106">
        <v>29</v>
      </c>
      <c r="J296" s="106">
        <v>2903</v>
      </c>
      <c r="K296" s="106">
        <v>151.44</v>
      </c>
      <c r="L296" s="106">
        <v>10600</v>
      </c>
      <c r="M296" s="106"/>
      <c r="N296" s="106"/>
      <c r="O296" s="447">
        <v>10500</v>
      </c>
      <c r="P296" s="106">
        <v>1590120</v>
      </c>
      <c r="Q296" s="106" t="s">
        <v>66</v>
      </c>
      <c r="R296" s="110">
        <v>641214</v>
      </c>
      <c r="S296" s="110"/>
      <c r="T296" s="110">
        <v>948906</v>
      </c>
      <c r="U296" s="181"/>
      <c r="V296" s="106"/>
      <c r="W296" s="106"/>
      <c r="X296" s="106"/>
      <c r="Y296" s="106"/>
      <c r="Z296" s="115"/>
      <c r="AA296" s="246"/>
      <c r="AB296" s="115"/>
      <c r="AC296" s="115"/>
      <c r="AD296" s="115"/>
      <c r="AE296" s="181"/>
      <c r="AF296" s="181"/>
      <c r="AG296" s="246">
        <v>42749</v>
      </c>
      <c r="AH296" s="134">
        <f>R296</f>
        <v>641214</v>
      </c>
      <c r="AI296" s="132">
        <f t="shared" si="92"/>
        <v>641214</v>
      </c>
      <c r="AJ296" s="132">
        <f t="shared" si="93"/>
        <v>641214</v>
      </c>
      <c r="AK296" s="132">
        <f t="shared" si="94"/>
        <v>0</v>
      </c>
      <c r="AL296" s="181"/>
      <c r="AM296" s="115" t="s">
        <v>974</v>
      </c>
      <c r="AN296" s="246">
        <v>44844</v>
      </c>
      <c r="AO296" s="259"/>
    </row>
    <row r="297" s="96" customFormat="1" customHeight="1" spans="1:41">
      <c r="A297" s="115" t="s">
        <v>1100</v>
      </c>
      <c r="B297" s="107" t="s">
        <v>1101</v>
      </c>
      <c r="C297" s="166" t="s">
        <v>1102</v>
      </c>
      <c r="D297" s="193" t="str">
        <f t="shared" si="85"/>
        <v>纪兰410502196404093041</v>
      </c>
      <c r="E297" s="166" t="s">
        <v>1103</v>
      </c>
      <c r="F297" s="156" t="s">
        <v>1104</v>
      </c>
      <c r="G297" s="115">
        <v>3</v>
      </c>
      <c r="H297" s="115">
        <v>15</v>
      </c>
      <c r="I297" s="115"/>
      <c r="J297" s="115">
        <v>1534</v>
      </c>
      <c r="K297" s="115">
        <v>55.51</v>
      </c>
      <c r="L297" s="115">
        <v>20000</v>
      </c>
      <c r="M297" s="115"/>
      <c r="N297" s="115"/>
      <c r="O297" s="431">
        <v>13000</v>
      </c>
      <c r="P297" s="445">
        <v>721630</v>
      </c>
      <c r="Q297" s="445" t="s">
        <v>66</v>
      </c>
      <c r="R297" s="448">
        <v>361630</v>
      </c>
      <c r="S297" s="448"/>
      <c r="T297" s="293">
        <v>360000</v>
      </c>
      <c r="U297" s="293"/>
      <c r="V297" s="293"/>
      <c r="W297" s="293">
        <v>3608</v>
      </c>
      <c r="X297" s="293">
        <v>550</v>
      </c>
      <c r="Y297" s="293"/>
      <c r="Z297" s="115"/>
      <c r="AA297" s="246"/>
      <c r="AB297" s="115">
        <v>1256</v>
      </c>
      <c r="AC297" s="115"/>
      <c r="AD297" s="115"/>
      <c r="AE297" s="181"/>
      <c r="AF297" s="181"/>
      <c r="AG297" s="246">
        <v>42809</v>
      </c>
      <c r="AH297" s="181"/>
      <c r="AI297" s="132">
        <f t="shared" si="92"/>
        <v>367044</v>
      </c>
      <c r="AJ297" s="132">
        <f t="shared" si="93"/>
        <v>365788</v>
      </c>
      <c r="AK297" s="132">
        <f t="shared" si="94"/>
        <v>1256</v>
      </c>
      <c r="AL297" s="181"/>
      <c r="AM297" s="115" t="s">
        <v>974</v>
      </c>
      <c r="AN297" s="246">
        <v>44844</v>
      </c>
      <c r="AO297" s="259"/>
    </row>
    <row r="298" s="96" customFormat="1" customHeight="1" spans="1:41">
      <c r="A298" s="115" t="s">
        <v>1105</v>
      </c>
      <c r="B298" s="106" t="s">
        <v>1106</v>
      </c>
      <c r="C298" s="444" t="s">
        <v>1107</v>
      </c>
      <c r="D298" s="193" t="str">
        <f t="shared" si="85"/>
        <v>赵钰412822197906030495</v>
      </c>
      <c r="E298" s="444" t="s">
        <v>1108</v>
      </c>
      <c r="F298" s="119"/>
      <c r="G298" s="106">
        <v>11</v>
      </c>
      <c r="H298" s="106">
        <v>3</v>
      </c>
      <c r="I298" s="106">
        <v>27</v>
      </c>
      <c r="J298" s="106">
        <v>2703</v>
      </c>
      <c r="K298" s="106">
        <v>151.44</v>
      </c>
      <c r="L298" s="106">
        <v>8900</v>
      </c>
      <c r="M298" s="106"/>
      <c r="N298" s="106"/>
      <c r="O298" s="447">
        <v>8800</v>
      </c>
      <c r="P298" s="106">
        <v>1332672</v>
      </c>
      <c r="Q298" s="106" t="s">
        <v>56</v>
      </c>
      <c r="R298" s="110">
        <v>1332672</v>
      </c>
      <c r="S298" s="106"/>
      <c r="T298" s="106" t="s">
        <v>47</v>
      </c>
      <c r="U298" s="181"/>
      <c r="V298" s="106"/>
      <c r="W298" s="106">
        <v>9843</v>
      </c>
      <c r="X298" s="106">
        <v>80</v>
      </c>
      <c r="Y298" s="106"/>
      <c r="Z298" s="115" t="s">
        <v>48</v>
      </c>
      <c r="AA298" s="246"/>
      <c r="AB298" s="115"/>
      <c r="AC298" s="115"/>
      <c r="AD298" s="115"/>
      <c r="AE298" s="181"/>
      <c r="AF298" s="181"/>
      <c r="AG298" s="246">
        <v>42339</v>
      </c>
      <c r="AH298" s="134">
        <f>AI298</f>
        <v>1342595</v>
      </c>
      <c r="AI298" s="132">
        <f t="shared" si="92"/>
        <v>1342595</v>
      </c>
      <c r="AJ298" s="132">
        <f t="shared" si="93"/>
        <v>1342595</v>
      </c>
      <c r="AK298" s="132">
        <f t="shared" si="94"/>
        <v>0</v>
      </c>
      <c r="AL298" s="181"/>
      <c r="AM298" s="115" t="s">
        <v>974</v>
      </c>
      <c r="AN298" s="246">
        <v>44844</v>
      </c>
      <c r="AO298" s="259"/>
    </row>
    <row r="299" s="96" customFormat="1" customHeight="1" spans="1:41">
      <c r="A299" s="115" t="s">
        <v>1109</v>
      </c>
      <c r="B299" s="107" t="s">
        <v>1110</v>
      </c>
      <c r="C299" s="166" t="s">
        <v>1111</v>
      </c>
      <c r="D299" s="193" t="str">
        <f t="shared" si="85"/>
        <v>贾敬然410102198212152542</v>
      </c>
      <c r="E299" s="166" t="s">
        <v>1112</v>
      </c>
      <c r="F299" s="156"/>
      <c r="G299" s="115">
        <v>3</v>
      </c>
      <c r="H299" s="115">
        <v>7</v>
      </c>
      <c r="I299" s="115"/>
      <c r="J299" s="115">
        <v>719</v>
      </c>
      <c r="K299" s="115">
        <v>70.67</v>
      </c>
      <c r="L299" s="115">
        <v>20000</v>
      </c>
      <c r="M299" s="115"/>
      <c r="N299" s="115"/>
      <c r="O299" s="431">
        <v>8547.51</v>
      </c>
      <c r="P299" s="445">
        <v>604053</v>
      </c>
      <c r="Q299" s="445" t="s">
        <v>66</v>
      </c>
      <c r="R299" s="449">
        <v>304053</v>
      </c>
      <c r="S299" s="449"/>
      <c r="T299" s="293">
        <v>300000</v>
      </c>
      <c r="U299" s="293"/>
      <c r="V299" s="239"/>
      <c r="W299" s="293">
        <v>4593</v>
      </c>
      <c r="X299" s="293">
        <v>550</v>
      </c>
      <c r="Y299" s="293"/>
      <c r="Z299" s="115" t="s">
        <v>48</v>
      </c>
      <c r="AA299" s="246"/>
      <c r="AB299" s="115">
        <v>1250</v>
      </c>
      <c r="AC299" s="115"/>
      <c r="AD299" s="115"/>
      <c r="AE299" s="181"/>
      <c r="AF299" s="181"/>
      <c r="AG299" s="246">
        <v>43325</v>
      </c>
      <c r="AH299" s="134">
        <f>X299+W299+R299</f>
        <v>309196</v>
      </c>
      <c r="AI299" s="132">
        <f t="shared" si="92"/>
        <v>310446</v>
      </c>
      <c r="AJ299" s="132">
        <f t="shared" si="93"/>
        <v>309196</v>
      </c>
      <c r="AK299" s="132">
        <f t="shared" ref="AK299:AK319" si="95">AI299-AJ299</f>
        <v>1250</v>
      </c>
      <c r="AL299" s="181"/>
      <c r="AM299" s="115" t="s">
        <v>974</v>
      </c>
      <c r="AN299" s="246">
        <v>44844</v>
      </c>
      <c r="AO299" s="259"/>
    </row>
    <row r="300" s="96" customFormat="1" customHeight="1" spans="1:41">
      <c r="A300" s="115" t="s">
        <v>1113</v>
      </c>
      <c r="B300" s="115" t="s">
        <v>1114</v>
      </c>
      <c r="C300" s="193" t="s">
        <v>1115</v>
      </c>
      <c r="D300" s="193" t="str">
        <f t="shared" si="85"/>
        <v>张蔚411303197911011523</v>
      </c>
      <c r="E300" s="115" t="s">
        <v>1116</v>
      </c>
      <c r="F300" s="291"/>
      <c r="G300" s="115">
        <v>3</v>
      </c>
      <c r="H300" s="115">
        <v>28</v>
      </c>
      <c r="I300" s="115"/>
      <c r="J300" s="115">
        <v>2833</v>
      </c>
      <c r="K300" s="115">
        <v>55.05</v>
      </c>
      <c r="L300" s="115">
        <v>30000</v>
      </c>
      <c r="M300" s="181"/>
      <c r="N300" s="181"/>
      <c r="O300" s="431">
        <v>14168.94</v>
      </c>
      <c r="P300" s="115">
        <v>780000</v>
      </c>
      <c r="Q300" s="115" t="s">
        <v>56</v>
      </c>
      <c r="R300" s="115">
        <v>780000</v>
      </c>
      <c r="S300" s="115"/>
      <c r="T300" s="115" t="s">
        <v>47</v>
      </c>
      <c r="U300" s="115"/>
      <c r="V300" s="133"/>
      <c r="W300" s="133">
        <v>3578</v>
      </c>
      <c r="X300" s="133">
        <v>550</v>
      </c>
      <c r="Y300" s="115"/>
      <c r="Z300" s="115" t="s">
        <v>48</v>
      </c>
      <c r="AA300" s="133"/>
      <c r="AB300" s="115"/>
      <c r="AC300" s="115"/>
      <c r="AD300" s="115"/>
      <c r="AE300" s="115"/>
      <c r="AF300" s="291"/>
      <c r="AG300" s="246">
        <v>43255</v>
      </c>
      <c r="AH300" s="133">
        <f>R300+W300+X300</f>
        <v>784128</v>
      </c>
      <c r="AI300" s="132">
        <f t="shared" ref="AI300:AI319" si="96">R300+V300+W300+X300+AA300+AB300+AC300+AD300</f>
        <v>784128</v>
      </c>
      <c r="AJ300" s="132">
        <f t="shared" ref="AJ300:AJ319" si="97">R300+W300+V300+X300+AA300</f>
        <v>784128</v>
      </c>
      <c r="AK300" s="132">
        <f t="shared" si="95"/>
        <v>0</v>
      </c>
      <c r="AL300" s="176"/>
      <c r="AM300" s="133" t="s">
        <v>854</v>
      </c>
      <c r="AN300" s="246">
        <v>44844</v>
      </c>
      <c r="AO300" s="259"/>
    </row>
    <row r="301" s="96" customFormat="1" customHeight="1" spans="1:41">
      <c r="A301" s="115" t="s">
        <v>1117</v>
      </c>
      <c r="B301" s="115" t="s">
        <v>1118</v>
      </c>
      <c r="C301" s="193"/>
      <c r="D301" s="193" t="str">
        <f t="shared" si="85"/>
        <v>宋国芳</v>
      </c>
      <c r="E301" s="115">
        <v>18903813399</v>
      </c>
      <c r="F301" s="291"/>
      <c r="G301" s="115">
        <v>9</v>
      </c>
      <c r="H301" s="115">
        <v>3</v>
      </c>
      <c r="I301" s="115">
        <v>15</v>
      </c>
      <c r="J301" s="115">
        <v>1501</v>
      </c>
      <c r="K301" s="115">
        <v>93.4</v>
      </c>
      <c r="L301" s="115">
        <v>8750</v>
      </c>
      <c r="M301" s="181"/>
      <c r="N301" s="181"/>
      <c r="O301" s="431">
        <v>8649.6</v>
      </c>
      <c r="P301" s="115">
        <v>807873</v>
      </c>
      <c r="Q301" s="115" t="s">
        <v>46</v>
      </c>
      <c r="R301" s="115">
        <v>247873</v>
      </c>
      <c r="S301" s="115"/>
      <c r="T301" s="115">
        <v>560000</v>
      </c>
      <c r="U301" s="115"/>
      <c r="V301" s="133"/>
      <c r="W301" s="133">
        <v>6071</v>
      </c>
      <c r="X301" s="133">
        <v>80</v>
      </c>
      <c r="Y301" s="115"/>
      <c r="Z301" s="115" t="s">
        <v>48</v>
      </c>
      <c r="AA301" s="133"/>
      <c r="AB301" s="115"/>
      <c r="AC301" s="115"/>
      <c r="AD301" s="115"/>
      <c r="AE301" s="115"/>
      <c r="AF301" s="291"/>
      <c r="AG301" s="246">
        <v>44077</v>
      </c>
      <c r="AH301" s="133"/>
      <c r="AI301" s="132">
        <f t="shared" si="96"/>
        <v>254024</v>
      </c>
      <c r="AJ301" s="132">
        <f t="shared" si="97"/>
        <v>254024</v>
      </c>
      <c r="AK301" s="132">
        <f t="shared" si="95"/>
        <v>0</v>
      </c>
      <c r="AL301" s="176" t="s">
        <v>1119</v>
      </c>
      <c r="AM301" s="133" t="s">
        <v>854</v>
      </c>
      <c r="AN301" s="246">
        <v>44844</v>
      </c>
      <c r="AO301" s="259"/>
    </row>
    <row r="302" s="96" customFormat="1" customHeight="1" spans="1:41">
      <c r="A302" s="115" t="s">
        <v>1120</v>
      </c>
      <c r="B302" s="107" t="s">
        <v>1121</v>
      </c>
      <c r="C302" s="166" t="s">
        <v>1122</v>
      </c>
      <c r="D302" s="193" t="str">
        <f t="shared" si="85"/>
        <v>常燕41010519740725712X</v>
      </c>
      <c r="E302" s="166" t="s">
        <v>1123</v>
      </c>
      <c r="F302" s="156" t="s">
        <v>1124</v>
      </c>
      <c r="G302" s="115">
        <v>3</v>
      </c>
      <c r="H302" s="115">
        <v>7</v>
      </c>
      <c r="I302" s="115"/>
      <c r="J302" s="115">
        <v>721</v>
      </c>
      <c r="K302" s="115">
        <v>71.53</v>
      </c>
      <c r="L302" s="115">
        <v>20000</v>
      </c>
      <c r="M302" s="115"/>
      <c r="N302" s="115"/>
      <c r="O302" s="431">
        <v>14976</v>
      </c>
      <c r="P302" s="445">
        <v>1071233</v>
      </c>
      <c r="Q302" s="445" t="s">
        <v>66</v>
      </c>
      <c r="R302" s="448">
        <v>541233</v>
      </c>
      <c r="S302" s="448"/>
      <c r="T302" s="293">
        <v>530000</v>
      </c>
      <c r="U302" s="293"/>
      <c r="V302" s="293"/>
      <c r="W302" s="293">
        <v>4649</v>
      </c>
      <c r="X302" s="293">
        <v>550</v>
      </c>
      <c r="Y302" s="293"/>
      <c r="Z302" s="115"/>
      <c r="AA302" s="246"/>
      <c r="AB302" s="115"/>
      <c r="AC302" s="115"/>
      <c r="AD302" s="115"/>
      <c r="AE302" s="181"/>
      <c r="AF302" s="181"/>
      <c r="AG302" s="246">
        <v>43728</v>
      </c>
      <c r="AH302" s="134">
        <f>X302+W302+R302</f>
        <v>546432</v>
      </c>
      <c r="AI302" s="132">
        <f t="shared" si="96"/>
        <v>546432</v>
      </c>
      <c r="AJ302" s="132">
        <f t="shared" si="97"/>
        <v>546432</v>
      </c>
      <c r="AK302" s="132">
        <f t="shared" si="95"/>
        <v>0</v>
      </c>
      <c r="AL302" s="181"/>
      <c r="AM302" s="115" t="s">
        <v>974</v>
      </c>
      <c r="AN302" s="246">
        <v>44844</v>
      </c>
      <c r="AO302" s="259"/>
    </row>
    <row r="303" s="96" customFormat="1" customHeight="1" spans="1:41">
      <c r="A303" s="115" t="s">
        <v>1125</v>
      </c>
      <c r="B303" s="115" t="s">
        <v>1126</v>
      </c>
      <c r="C303" s="193" t="s">
        <v>1127</v>
      </c>
      <c r="D303" s="193" t="str">
        <f t="shared" si="85"/>
        <v>卜黎明410504197003172037</v>
      </c>
      <c r="E303" s="115">
        <v>13903729781</v>
      </c>
      <c r="F303" s="291"/>
      <c r="G303" s="115">
        <v>10</v>
      </c>
      <c r="H303" s="115">
        <v>2</v>
      </c>
      <c r="I303" s="115">
        <v>22</v>
      </c>
      <c r="J303" s="115">
        <v>2206</v>
      </c>
      <c r="K303" s="115">
        <v>99.52</v>
      </c>
      <c r="L303" s="115">
        <v>8100</v>
      </c>
      <c r="M303" s="181"/>
      <c r="N303" s="181"/>
      <c r="O303" s="431">
        <v>8000</v>
      </c>
      <c r="P303" s="115">
        <v>796160</v>
      </c>
      <c r="Q303" s="115" t="s">
        <v>46</v>
      </c>
      <c r="R303" s="115">
        <v>596160</v>
      </c>
      <c r="S303" s="115"/>
      <c r="T303" s="115">
        <v>200000</v>
      </c>
      <c r="U303" s="115"/>
      <c r="V303" s="133"/>
      <c r="W303" s="133">
        <v>6468</v>
      </c>
      <c r="X303" s="133">
        <v>80</v>
      </c>
      <c r="Y303" s="115"/>
      <c r="Z303" s="115" t="s">
        <v>48</v>
      </c>
      <c r="AA303" s="133"/>
      <c r="AB303" s="115"/>
      <c r="AC303" s="115"/>
      <c r="AD303" s="115"/>
      <c r="AE303" s="115"/>
      <c r="AF303" s="291"/>
      <c r="AG303" s="246">
        <v>43133</v>
      </c>
      <c r="AH303" s="133"/>
      <c r="AI303" s="132">
        <f t="shared" si="96"/>
        <v>602708</v>
      </c>
      <c r="AJ303" s="132">
        <f t="shared" si="97"/>
        <v>602708</v>
      </c>
      <c r="AK303" s="132">
        <f t="shared" si="95"/>
        <v>0</v>
      </c>
      <c r="AL303" s="176"/>
      <c r="AM303" s="133" t="s">
        <v>854</v>
      </c>
      <c r="AN303" s="246">
        <v>44844</v>
      </c>
      <c r="AO303" s="259"/>
    </row>
    <row r="304" s="96" customFormat="1" customHeight="1" spans="1:41">
      <c r="A304" s="115" t="s">
        <v>1128</v>
      </c>
      <c r="B304" s="115" t="s">
        <v>1129</v>
      </c>
      <c r="C304" s="193" t="s">
        <v>1130</v>
      </c>
      <c r="D304" s="193" t="str">
        <f t="shared" si="85"/>
        <v>杨方玲410726199211273826</v>
      </c>
      <c r="E304" s="115" t="s">
        <v>1131</v>
      </c>
      <c r="F304" s="291" t="s">
        <v>1132</v>
      </c>
      <c r="G304" s="115">
        <v>6</v>
      </c>
      <c r="H304" s="115">
        <v>1</v>
      </c>
      <c r="I304" s="115">
        <v>23</v>
      </c>
      <c r="J304" s="115">
        <v>2307</v>
      </c>
      <c r="K304" s="115">
        <v>86.33</v>
      </c>
      <c r="L304" s="115">
        <v>19460</v>
      </c>
      <c r="M304" s="181"/>
      <c r="N304" s="181"/>
      <c r="O304" s="431">
        <v>16000</v>
      </c>
      <c r="P304" s="115">
        <v>1381280</v>
      </c>
      <c r="Q304" s="115" t="s">
        <v>66</v>
      </c>
      <c r="R304" s="115">
        <f>711509-229</f>
        <v>711280</v>
      </c>
      <c r="S304" s="115">
        <v>-229</v>
      </c>
      <c r="T304" s="115" t="s">
        <v>47</v>
      </c>
      <c r="U304" s="115"/>
      <c r="V304" s="133">
        <v>670000</v>
      </c>
      <c r="W304" s="133">
        <v>5611</v>
      </c>
      <c r="X304" s="133">
        <v>80</v>
      </c>
      <c r="Y304" s="115"/>
      <c r="Z304" s="115" t="s">
        <v>48</v>
      </c>
      <c r="AA304" s="133"/>
      <c r="AB304" s="115"/>
      <c r="AC304" s="115"/>
      <c r="AD304" s="115"/>
      <c r="AE304" s="115"/>
      <c r="AF304" s="291"/>
      <c r="AG304" s="246">
        <v>43417</v>
      </c>
      <c r="AH304" s="133"/>
      <c r="AI304" s="132">
        <f t="shared" si="96"/>
        <v>1386971</v>
      </c>
      <c r="AJ304" s="132">
        <f t="shared" si="97"/>
        <v>1386971</v>
      </c>
      <c r="AK304" s="132">
        <f t="shared" si="95"/>
        <v>0</v>
      </c>
      <c r="AL304" s="176" t="s">
        <v>1133</v>
      </c>
      <c r="AM304" s="133" t="s">
        <v>854</v>
      </c>
      <c r="AN304" s="246">
        <v>44844</v>
      </c>
      <c r="AO304" s="259"/>
    </row>
    <row r="305" s="96" customFormat="1" customHeight="1" spans="1:41">
      <c r="A305" s="115" t="s">
        <v>1134</v>
      </c>
      <c r="B305" s="115" t="s">
        <v>1135</v>
      </c>
      <c r="C305" s="193" t="s">
        <v>1136</v>
      </c>
      <c r="D305" s="193" t="str">
        <f t="shared" si="85"/>
        <v>张利敏410725198709122426</v>
      </c>
      <c r="E305" s="115">
        <v>13938229195</v>
      </c>
      <c r="F305" s="291"/>
      <c r="G305" s="115">
        <v>2</v>
      </c>
      <c r="H305" s="115">
        <v>11</v>
      </c>
      <c r="I305" s="115"/>
      <c r="J305" s="115">
        <v>1106</v>
      </c>
      <c r="K305" s="115">
        <v>49.89</v>
      </c>
      <c r="L305" s="115">
        <v>30000</v>
      </c>
      <c r="M305" s="181"/>
      <c r="N305" s="181"/>
      <c r="O305" s="431">
        <v>15093.21</v>
      </c>
      <c r="P305" s="115">
        <v>753000</v>
      </c>
      <c r="Q305" s="115" t="s">
        <v>66</v>
      </c>
      <c r="R305" s="115">
        <v>383000</v>
      </c>
      <c r="S305" s="115"/>
      <c r="T305" s="115">
        <v>0</v>
      </c>
      <c r="U305" s="115"/>
      <c r="V305" s="133">
        <v>370000</v>
      </c>
      <c r="W305" s="133">
        <v>3242</v>
      </c>
      <c r="X305" s="133">
        <v>550</v>
      </c>
      <c r="Y305" s="115"/>
      <c r="Z305" s="115" t="s">
        <v>48</v>
      </c>
      <c r="AA305" s="133"/>
      <c r="AB305" s="115"/>
      <c r="AC305" s="115"/>
      <c r="AD305" s="115"/>
      <c r="AE305" s="115"/>
      <c r="AF305" s="291"/>
      <c r="AG305" s="246">
        <v>43318</v>
      </c>
      <c r="AH305" s="133">
        <f>R305+W305+X305</f>
        <v>386792</v>
      </c>
      <c r="AI305" s="132">
        <f t="shared" si="96"/>
        <v>756792</v>
      </c>
      <c r="AJ305" s="132">
        <f t="shared" si="97"/>
        <v>756792</v>
      </c>
      <c r="AK305" s="132">
        <f t="shared" si="95"/>
        <v>0</v>
      </c>
      <c r="AL305" s="176"/>
      <c r="AM305" s="133" t="s">
        <v>854</v>
      </c>
      <c r="AN305" s="246">
        <v>44844</v>
      </c>
      <c r="AO305" s="259"/>
    </row>
    <row r="306" s="96" customFormat="1" customHeight="1" spans="1:41">
      <c r="A306" s="115" t="s">
        <v>1137</v>
      </c>
      <c r="B306" s="107" t="s">
        <v>1002</v>
      </c>
      <c r="C306" s="166" t="s">
        <v>1003</v>
      </c>
      <c r="D306" s="193" t="str">
        <f t="shared" si="85"/>
        <v>程文召412701196804031516</v>
      </c>
      <c r="E306" s="166" t="s">
        <v>1138</v>
      </c>
      <c r="F306" s="156"/>
      <c r="G306" s="115">
        <v>3</v>
      </c>
      <c r="H306" s="115"/>
      <c r="I306" s="115">
        <v>12</v>
      </c>
      <c r="J306" s="115">
        <v>1223</v>
      </c>
      <c r="K306" s="115">
        <v>59.07</v>
      </c>
      <c r="L306" s="115">
        <v>20000</v>
      </c>
      <c r="M306" s="115"/>
      <c r="N306" s="115"/>
      <c r="O306" s="431">
        <v>9601.17</v>
      </c>
      <c r="P306" s="445">
        <f>ROUND(O306*K306,0)</f>
        <v>567141</v>
      </c>
      <c r="Q306" s="445" t="s">
        <v>66</v>
      </c>
      <c r="R306" s="448">
        <v>287141</v>
      </c>
      <c r="S306" s="448"/>
      <c r="T306" s="445">
        <v>280000</v>
      </c>
      <c r="U306" s="293"/>
      <c r="V306" s="293"/>
      <c r="W306" s="293">
        <v>3839</v>
      </c>
      <c r="X306" s="293">
        <v>550</v>
      </c>
      <c r="Y306" s="115"/>
      <c r="Z306" s="246"/>
      <c r="AA306" s="115"/>
      <c r="AB306" s="115"/>
      <c r="AC306" s="115"/>
      <c r="AD306" s="115"/>
      <c r="AE306" s="291"/>
      <c r="AF306" s="246"/>
      <c r="AG306" s="246">
        <v>43092</v>
      </c>
      <c r="AH306" s="133">
        <f>AJ306</f>
        <v>291530</v>
      </c>
      <c r="AI306" s="132">
        <f t="shared" si="96"/>
        <v>291530</v>
      </c>
      <c r="AJ306" s="132">
        <f t="shared" si="97"/>
        <v>291530</v>
      </c>
      <c r="AK306" s="132">
        <f t="shared" si="95"/>
        <v>0</v>
      </c>
      <c r="AL306" s="133"/>
      <c r="AM306" s="246" t="s">
        <v>886</v>
      </c>
      <c r="AN306" s="246">
        <v>44844</v>
      </c>
      <c r="AO306" s="259"/>
    </row>
    <row r="307" s="96" customFormat="1" customHeight="1" spans="1:41">
      <c r="A307" s="115" t="s">
        <v>1139</v>
      </c>
      <c r="B307" s="107" t="s">
        <v>1140</v>
      </c>
      <c r="C307" s="166" t="s">
        <v>1141</v>
      </c>
      <c r="D307" s="193" t="str">
        <f t="shared" si="85"/>
        <v>段远桦412721197609121428</v>
      </c>
      <c r="E307" s="155">
        <v>13837195081</v>
      </c>
      <c r="F307" s="115"/>
      <c r="G307" s="115">
        <v>3</v>
      </c>
      <c r="H307" s="115">
        <v>13</v>
      </c>
      <c r="I307" s="115"/>
      <c r="J307" s="115">
        <v>1319</v>
      </c>
      <c r="K307" s="115">
        <v>70.67</v>
      </c>
      <c r="L307" s="115">
        <v>20000</v>
      </c>
      <c r="M307" s="115"/>
      <c r="N307" s="115"/>
      <c r="O307" s="431">
        <v>8473.45</v>
      </c>
      <c r="P307" s="445">
        <v>598819</v>
      </c>
      <c r="Q307" s="445" t="s">
        <v>66</v>
      </c>
      <c r="R307" s="449">
        <v>308819</v>
      </c>
      <c r="S307" s="449"/>
      <c r="T307" s="293" t="s">
        <v>47</v>
      </c>
      <c r="U307" s="293"/>
      <c r="V307" s="239">
        <v>290000</v>
      </c>
      <c r="W307" s="293">
        <v>4593</v>
      </c>
      <c r="X307" s="293">
        <v>550</v>
      </c>
      <c r="Y307" s="293"/>
      <c r="Z307" s="115" t="s">
        <v>48</v>
      </c>
      <c r="AA307" s="246"/>
      <c r="AB307" s="115"/>
      <c r="AC307" s="115"/>
      <c r="AD307" s="115"/>
      <c r="AE307" s="181"/>
      <c r="AF307" s="181"/>
      <c r="AG307" s="246">
        <v>43275</v>
      </c>
      <c r="AH307" s="134"/>
      <c r="AI307" s="132">
        <f t="shared" si="96"/>
        <v>603962</v>
      </c>
      <c r="AJ307" s="132">
        <f t="shared" si="97"/>
        <v>603962</v>
      </c>
      <c r="AK307" s="132">
        <f t="shared" si="95"/>
        <v>0</v>
      </c>
      <c r="AL307" s="181"/>
      <c r="AM307" s="115" t="s">
        <v>974</v>
      </c>
      <c r="AN307" s="246">
        <v>44844</v>
      </c>
      <c r="AO307" s="259"/>
    </row>
    <row r="308" s="96" customFormat="1" customHeight="1" spans="1:41">
      <c r="A308" s="115" t="s">
        <v>1142</v>
      </c>
      <c r="B308" s="107" t="s">
        <v>1143</v>
      </c>
      <c r="C308" s="166" t="s">
        <v>1144</v>
      </c>
      <c r="D308" s="193" t="str">
        <f t="shared" si="85"/>
        <v>孟珊410203197311130020</v>
      </c>
      <c r="E308" s="166" t="s">
        <v>1145</v>
      </c>
      <c r="F308" s="156"/>
      <c r="G308" s="115">
        <v>6</v>
      </c>
      <c r="H308" s="115">
        <v>1</v>
      </c>
      <c r="I308" s="115">
        <v>21</v>
      </c>
      <c r="J308" s="115">
        <v>2106</v>
      </c>
      <c r="K308" s="115">
        <v>86.33</v>
      </c>
      <c r="L308" s="115">
        <v>12600</v>
      </c>
      <c r="M308" s="115"/>
      <c r="N308" s="115"/>
      <c r="O308" s="431">
        <v>12500</v>
      </c>
      <c r="P308" s="445">
        <f>ROUND(O308*K308,0)</f>
        <v>1079125</v>
      </c>
      <c r="Q308" s="445" t="s">
        <v>56</v>
      </c>
      <c r="R308" s="448">
        <v>1115000</v>
      </c>
      <c r="S308" s="445">
        <v>-35875</v>
      </c>
      <c r="T308" s="445"/>
      <c r="U308" s="293"/>
      <c r="V308" s="293"/>
      <c r="W308" s="293"/>
      <c r="X308" s="293"/>
      <c r="Y308" s="115"/>
      <c r="Z308" s="246"/>
      <c r="AA308" s="115"/>
      <c r="AB308" s="115"/>
      <c r="AC308" s="115"/>
      <c r="AD308" s="115"/>
      <c r="AE308" s="291"/>
      <c r="AF308" s="246"/>
      <c r="AG308" s="246">
        <v>42902</v>
      </c>
      <c r="AH308" s="133">
        <f>AJ308</f>
        <v>1115000</v>
      </c>
      <c r="AI308" s="132">
        <f t="shared" si="96"/>
        <v>1115000</v>
      </c>
      <c r="AJ308" s="132">
        <f t="shared" si="97"/>
        <v>1115000</v>
      </c>
      <c r="AK308" s="132">
        <f t="shared" si="95"/>
        <v>0</v>
      </c>
      <c r="AL308" s="133"/>
      <c r="AM308" s="246" t="s">
        <v>886</v>
      </c>
      <c r="AN308" s="246">
        <v>44844</v>
      </c>
      <c r="AO308" s="259"/>
    </row>
    <row r="309" s="96" customFormat="1" customHeight="1" spans="1:41">
      <c r="A309" s="115" t="s">
        <v>1146</v>
      </c>
      <c r="B309" s="107" t="s">
        <v>1147</v>
      </c>
      <c r="C309" s="166" t="s">
        <v>1148</v>
      </c>
      <c r="D309" s="193" t="str">
        <f t="shared" si="85"/>
        <v>雷晨光41010519930215019X</v>
      </c>
      <c r="E309" s="166" t="s">
        <v>1149</v>
      </c>
      <c r="F309" s="156"/>
      <c r="G309" s="115">
        <v>3</v>
      </c>
      <c r="H309" s="115"/>
      <c r="I309" s="115">
        <v>21</v>
      </c>
      <c r="J309" s="115">
        <v>2131</v>
      </c>
      <c r="K309" s="115">
        <v>56.44</v>
      </c>
      <c r="L309" s="115">
        <v>20000</v>
      </c>
      <c r="M309" s="115"/>
      <c r="N309" s="115"/>
      <c r="O309" s="431">
        <v>10500</v>
      </c>
      <c r="P309" s="445">
        <f>ROUND(O309*K309,0)</f>
        <v>592620</v>
      </c>
      <c r="Q309" s="445" t="s">
        <v>56</v>
      </c>
      <c r="R309" s="448">
        <v>592620</v>
      </c>
      <c r="S309" s="448"/>
      <c r="T309" s="445" t="s">
        <v>47</v>
      </c>
      <c r="U309" s="293"/>
      <c r="V309" s="293"/>
      <c r="W309" s="293">
        <v>3668</v>
      </c>
      <c r="X309" s="293">
        <v>550</v>
      </c>
      <c r="Y309" s="115" t="s">
        <v>48</v>
      </c>
      <c r="Z309" s="246"/>
      <c r="AA309" s="115"/>
      <c r="AB309" s="115"/>
      <c r="AC309" s="115"/>
      <c r="AD309" s="115"/>
      <c r="AE309" s="291"/>
      <c r="AF309" s="246"/>
      <c r="AG309" s="246">
        <v>43980</v>
      </c>
      <c r="AH309" s="133"/>
      <c r="AI309" s="132">
        <f t="shared" si="96"/>
        <v>596838</v>
      </c>
      <c r="AJ309" s="132">
        <f t="shared" si="97"/>
        <v>596838</v>
      </c>
      <c r="AK309" s="132">
        <f t="shared" si="95"/>
        <v>0</v>
      </c>
      <c r="AL309" s="133"/>
      <c r="AM309" s="246" t="s">
        <v>886</v>
      </c>
      <c r="AN309" s="246">
        <v>44844</v>
      </c>
      <c r="AO309" s="259"/>
    </row>
    <row r="310" s="96" customFormat="1" customHeight="1" spans="1:41">
      <c r="A310" s="115" t="s">
        <v>1150</v>
      </c>
      <c r="B310" s="107" t="s">
        <v>1151</v>
      </c>
      <c r="C310" s="166" t="s">
        <v>1152</v>
      </c>
      <c r="D310" s="193" t="str">
        <f t="shared" si="85"/>
        <v>张景慧412931196505140404</v>
      </c>
      <c r="E310" s="166" t="s">
        <v>1153</v>
      </c>
      <c r="F310" s="156"/>
      <c r="G310" s="115">
        <v>9</v>
      </c>
      <c r="H310" s="115">
        <v>3</v>
      </c>
      <c r="I310" s="115">
        <v>32</v>
      </c>
      <c r="J310" s="115">
        <v>3201</v>
      </c>
      <c r="K310" s="115">
        <v>93.4</v>
      </c>
      <c r="L310" s="115">
        <v>17900</v>
      </c>
      <c r="M310" s="115"/>
      <c r="N310" s="115"/>
      <c r="O310" s="431">
        <v>13800</v>
      </c>
      <c r="P310" s="445">
        <v>1288920</v>
      </c>
      <c r="Q310" s="445" t="s">
        <v>66</v>
      </c>
      <c r="R310" s="448">
        <v>758580</v>
      </c>
      <c r="S310" s="448"/>
      <c r="T310" s="445">
        <v>530340</v>
      </c>
      <c r="U310" s="293"/>
      <c r="V310" s="293"/>
      <c r="W310" s="293"/>
      <c r="X310" s="293"/>
      <c r="Y310" s="115"/>
      <c r="Z310" s="246"/>
      <c r="AA310" s="115"/>
      <c r="AB310" s="115"/>
      <c r="AC310" s="115"/>
      <c r="AD310" s="115"/>
      <c r="AE310" s="291"/>
      <c r="AF310" s="246"/>
      <c r="AG310" s="246">
        <v>42983</v>
      </c>
      <c r="AH310" s="133">
        <f>AJ310</f>
        <v>758580</v>
      </c>
      <c r="AI310" s="132">
        <f t="shared" si="96"/>
        <v>758580</v>
      </c>
      <c r="AJ310" s="132">
        <f t="shared" si="97"/>
        <v>758580</v>
      </c>
      <c r="AK310" s="132">
        <f t="shared" si="95"/>
        <v>0</v>
      </c>
      <c r="AL310" s="133"/>
      <c r="AM310" s="246" t="s">
        <v>886</v>
      </c>
      <c r="AN310" s="246">
        <v>44844</v>
      </c>
      <c r="AO310" s="259"/>
    </row>
    <row r="311" s="96" customFormat="1" customHeight="1" spans="1:41">
      <c r="A311" s="115" t="s">
        <v>1154</v>
      </c>
      <c r="B311" s="107" t="s">
        <v>1155</v>
      </c>
      <c r="C311" s="166" t="s">
        <v>1156</v>
      </c>
      <c r="D311" s="193" t="str">
        <f t="shared" si="85"/>
        <v>任娟丽410105196806203327</v>
      </c>
      <c r="E311" s="166">
        <v>13523081735</v>
      </c>
      <c r="F311" s="156"/>
      <c r="G311" s="115">
        <v>3</v>
      </c>
      <c r="H311" s="115"/>
      <c r="I311" s="115">
        <v>8</v>
      </c>
      <c r="J311" s="115">
        <v>819</v>
      </c>
      <c r="K311" s="115">
        <v>70.67</v>
      </c>
      <c r="L311" s="115">
        <v>20000</v>
      </c>
      <c r="M311" s="115"/>
      <c r="N311" s="115"/>
      <c r="O311" s="431">
        <v>8566.51</v>
      </c>
      <c r="P311" s="445">
        <f>ROUND(O311*K311,0)</f>
        <v>605395</v>
      </c>
      <c r="Q311" s="445" t="s">
        <v>66</v>
      </c>
      <c r="R311" s="448">
        <v>305395</v>
      </c>
      <c r="S311" s="448"/>
      <c r="T311" s="445" t="s">
        <v>47</v>
      </c>
      <c r="U311" s="293"/>
      <c r="V311" s="293">
        <v>300000</v>
      </c>
      <c r="W311" s="293">
        <v>4593</v>
      </c>
      <c r="X311" s="293">
        <v>550</v>
      </c>
      <c r="Y311" s="115" t="s">
        <v>48</v>
      </c>
      <c r="Z311" s="246"/>
      <c r="AA311" s="115"/>
      <c r="AB311" s="115"/>
      <c r="AC311" s="115"/>
      <c r="AD311" s="115"/>
      <c r="AE311" s="291"/>
      <c r="AF311" s="246"/>
      <c r="AG311" s="246"/>
      <c r="AH311" s="133"/>
      <c r="AI311" s="132">
        <f t="shared" si="96"/>
        <v>610538</v>
      </c>
      <c r="AJ311" s="132">
        <f t="shared" si="97"/>
        <v>610538</v>
      </c>
      <c r="AK311" s="132">
        <f t="shared" si="95"/>
        <v>0</v>
      </c>
      <c r="AL311" s="133" t="s">
        <v>1157</v>
      </c>
      <c r="AM311" s="246" t="s">
        <v>886</v>
      </c>
      <c r="AN311" s="246">
        <v>44844</v>
      </c>
      <c r="AO311" s="259"/>
    </row>
    <row r="312" s="96" customFormat="1" customHeight="1" spans="1:41">
      <c r="A312" s="115" t="s">
        <v>1158</v>
      </c>
      <c r="B312" s="107" t="s">
        <v>1159</v>
      </c>
      <c r="C312" s="166" t="s">
        <v>1160</v>
      </c>
      <c r="D312" s="193" t="str">
        <f t="shared" si="85"/>
        <v>樊桂荣41010419390902302X</v>
      </c>
      <c r="E312" s="166" t="s">
        <v>1161</v>
      </c>
      <c r="F312" s="156"/>
      <c r="G312" s="115">
        <v>6</v>
      </c>
      <c r="H312" s="115">
        <v>2</v>
      </c>
      <c r="I312" s="115">
        <v>16</v>
      </c>
      <c r="J312" s="115">
        <v>1601</v>
      </c>
      <c r="K312" s="115">
        <v>109.13</v>
      </c>
      <c r="L312" s="115">
        <v>12100</v>
      </c>
      <c r="M312" s="115"/>
      <c r="N312" s="115"/>
      <c r="O312" s="431">
        <v>12000</v>
      </c>
      <c r="P312" s="445">
        <f>ROUND(O312*K312,0)</f>
        <v>1309560</v>
      </c>
      <c r="Q312" s="445" t="s">
        <v>56</v>
      </c>
      <c r="R312" s="448">
        <v>1309560</v>
      </c>
      <c r="S312" s="448"/>
      <c r="T312" s="445" t="s">
        <v>47</v>
      </c>
      <c r="U312" s="293"/>
      <c r="V312" s="293"/>
      <c r="W312" s="293">
        <v>7093</v>
      </c>
      <c r="X312" s="293">
        <v>80</v>
      </c>
      <c r="Y312" s="115" t="s">
        <v>48</v>
      </c>
      <c r="Z312" s="246"/>
      <c r="AA312" s="115"/>
      <c r="AB312" s="115"/>
      <c r="AC312" s="115"/>
      <c r="AD312" s="115"/>
      <c r="AE312" s="291"/>
      <c r="AF312" s="246"/>
      <c r="AG312" s="246">
        <v>43981</v>
      </c>
      <c r="AH312" s="133"/>
      <c r="AI312" s="132">
        <f t="shared" si="96"/>
        <v>1316733</v>
      </c>
      <c r="AJ312" s="132">
        <f t="shared" si="97"/>
        <v>1316733</v>
      </c>
      <c r="AK312" s="132">
        <f t="shared" si="95"/>
        <v>0</v>
      </c>
      <c r="AL312" s="133"/>
      <c r="AM312" s="246" t="s">
        <v>886</v>
      </c>
      <c r="AN312" s="246">
        <v>44844</v>
      </c>
      <c r="AO312" s="259"/>
    </row>
    <row r="313" s="96" customFormat="1" customHeight="1" spans="1:41">
      <c r="A313" s="115" t="s">
        <v>1162</v>
      </c>
      <c r="B313" s="107" t="s">
        <v>1163</v>
      </c>
      <c r="C313" s="166" t="s">
        <v>1164</v>
      </c>
      <c r="D313" s="193" t="str">
        <f t="shared" si="85"/>
        <v>范新超410105198910210137</v>
      </c>
      <c r="E313" s="166" t="s">
        <v>1165</v>
      </c>
      <c r="F313" s="156"/>
      <c r="G313" s="115">
        <v>3</v>
      </c>
      <c r="H313" s="115"/>
      <c r="I313" s="115">
        <v>5</v>
      </c>
      <c r="J313" s="115">
        <v>532</v>
      </c>
      <c r="K313" s="115">
        <v>55.21</v>
      </c>
      <c r="L313" s="115">
        <v>20000</v>
      </c>
      <c r="M313" s="115"/>
      <c r="N313" s="115"/>
      <c r="O313" s="431">
        <v>7207.5</v>
      </c>
      <c r="P313" s="445">
        <f>ROUND(O313*K313,0)</f>
        <v>397926</v>
      </c>
      <c r="Q313" s="445" t="s">
        <v>56</v>
      </c>
      <c r="R313" s="448">
        <v>397926</v>
      </c>
      <c r="S313" s="448"/>
      <c r="T313" s="445" t="s">
        <v>47</v>
      </c>
      <c r="U313" s="293"/>
      <c r="V313" s="293"/>
      <c r="W313" s="293">
        <v>3588</v>
      </c>
      <c r="X313" s="293">
        <v>550</v>
      </c>
      <c r="Y313" s="115" t="s">
        <v>48</v>
      </c>
      <c r="Z313" s="246"/>
      <c r="AA313" s="115"/>
      <c r="AB313" s="115"/>
      <c r="AC313" s="115"/>
      <c r="AD313" s="115"/>
      <c r="AE313" s="291"/>
      <c r="AF313" s="246"/>
      <c r="AG313" s="246">
        <v>43973</v>
      </c>
      <c r="AH313" s="133"/>
      <c r="AI313" s="132">
        <f t="shared" si="96"/>
        <v>402064</v>
      </c>
      <c r="AJ313" s="132">
        <f t="shared" si="97"/>
        <v>402064</v>
      </c>
      <c r="AK313" s="132">
        <f t="shared" si="95"/>
        <v>0</v>
      </c>
      <c r="AL313" s="133"/>
      <c r="AM313" s="246" t="s">
        <v>886</v>
      </c>
      <c r="AN313" s="246">
        <v>44844</v>
      </c>
      <c r="AO313" s="259"/>
    </row>
    <row r="314" s="96" customFormat="1" customHeight="1" spans="1:41">
      <c r="A314" s="115" t="s">
        <v>1166</v>
      </c>
      <c r="B314" s="107" t="s">
        <v>1167</v>
      </c>
      <c r="C314" s="166" t="s">
        <v>1168</v>
      </c>
      <c r="D314" s="193" t="str">
        <f t="shared" si="85"/>
        <v>张世范411102197012150573</v>
      </c>
      <c r="E314" s="166" t="s">
        <v>1169</v>
      </c>
      <c r="F314" s="156"/>
      <c r="G314" s="115">
        <v>9</v>
      </c>
      <c r="H314" s="115">
        <v>3</v>
      </c>
      <c r="I314" s="115">
        <v>9</v>
      </c>
      <c r="J314" s="115">
        <v>904</v>
      </c>
      <c r="K314" s="115">
        <v>94.65</v>
      </c>
      <c r="L314" s="115">
        <v>8663</v>
      </c>
      <c r="M314" s="115"/>
      <c r="N314" s="115"/>
      <c r="O314" s="431">
        <v>8562</v>
      </c>
      <c r="P314" s="445">
        <f>ROUND(O314*K314,0)</f>
        <v>810393</v>
      </c>
      <c r="Q314" s="445" t="s">
        <v>66</v>
      </c>
      <c r="R314" s="448">
        <v>260393</v>
      </c>
      <c r="S314" s="448"/>
      <c r="T314" s="445" t="s">
        <v>47</v>
      </c>
      <c r="U314" s="293"/>
      <c r="V314" s="293">
        <v>550000</v>
      </c>
      <c r="W314" s="293">
        <v>6152</v>
      </c>
      <c r="X314" s="293">
        <v>80</v>
      </c>
      <c r="Y314" s="115"/>
      <c r="Z314" s="246" t="s">
        <v>48</v>
      </c>
      <c r="AA314" s="115"/>
      <c r="AB314" s="115">
        <v>1135</v>
      </c>
      <c r="AC314" s="115"/>
      <c r="AD314" s="115"/>
      <c r="AE314" s="291"/>
      <c r="AF314" s="246"/>
      <c r="AG314" s="246">
        <v>42089</v>
      </c>
      <c r="AH314" s="133">
        <v>259584.6</v>
      </c>
      <c r="AI314" s="132">
        <f t="shared" si="96"/>
        <v>817760</v>
      </c>
      <c r="AJ314" s="132">
        <f t="shared" si="97"/>
        <v>816625</v>
      </c>
      <c r="AK314" s="132">
        <f t="shared" si="95"/>
        <v>1135</v>
      </c>
      <c r="AL314" s="133"/>
      <c r="AM314" s="246" t="s">
        <v>886</v>
      </c>
      <c r="AN314" s="246">
        <v>44844</v>
      </c>
      <c r="AO314" s="259"/>
    </row>
    <row r="315" s="96" customFormat="1" customHeight="1" spans="1:41">
      <c r="A315" s="115" t="s">
        <v>1170</v>
      </c>
      <c r="B315" s="115" t="s">
        <v>1171</v>
      </c>
      <c r="C315" s="193" t="s">
        <v>1172</v>
      </c>
      <c r="D315" s="193" t="str">
        <f t="shared" si="85"/>
        <v>张士轩410621197010272011</v>
      </c>
      <c r="E315" s="115" t="s">
        <v>1173</v>
      </c>
      <c r="F315" s="291"/>
      <c r="G315" s="115">
        <v>3</v>
      </c>
      <c r="H315" s="115">
        <v>5</v>
      </c>
      <c r="I315" s="115"/>
      <c r="J315" s="115">
        <v>530</v>
      </c>
      <c r="K315" s="115">
        <v>57.33</v>
      </c>
      <c r="L315" s="115">
        <v>20000</v>
      </c>
      <c r="M315" s="181"/>
      <c r="N315" s="181"/>
      <c r="O315" s="431">
        <v>7230</v>
      </c>
      <c r="P315" s="115">
        <v>414496</v>
      </c>
      <c r="Q315" s="115" t="s">
        <v>56</v>
      </c>
      <c r="R315" s="115">
        <v>414496</v>
      </c>
      <c r="S315" s="115"/>
      <c r="T315" s="115" t="s">
        <v>47</v>
      </c>
      <c r="U315" s="115"/>
      <c r="V315" s="133"/>
      <c r="W315" s="133">
        <v>3726</v>
      </c>
      <c r="X315" s="133">
        <v>550</v>
      </c>
      <c r="Y315" s="115"/>
      <c r="Z315" s="115" t="s">
        <v>48</v>
      </c>
      <c r="AA315" s="133"/>
      <c r="AB315" s="115"/>
      <c r="AC315" s="115"/>
      <c r="AD315" s="115"/>
      <c r="AE315" s="115"/>
      <c r="AF315" s="291"/>
      <c r="AG315" s="246">
        <v>43973</v>
      </c>
      <c r="AH315" s="133"/>
      <c r="AI315" s="132">
        <f t="shared" si="96"/>
        <v>418772</v>
      </c>
      <c r="AJ315" s="132">
        <f t="shared" si="97"/>
        <v>418772</v>
      </c>
      <c r="AK315" s="132">
        <f t="shared" si="95"/>
        <v>0</v>
      </c>
      <c r="AL315" s="176"/>
      <c r="AM315" s="133" t="s">
        <v>854</v>
      </c>
      <c r="AN315" s="246">
        <v>44844</v>
      </c>
      <c r="AO315" s="259"/>
    </row>
    <row r="316" s="96" customFormat="1" customHeight="1" spans="1:41">
      <c r="A316" s="115" t="s">
        <v>1174</v>
      </c>
      <c r="B316" s="115" t="s">
        <v>1175</v>
      </c>
      <c r="C316" s="193" t="s">
        <v>1176</v>
      </c>
      <c r="D316" s="193" t="str">
        <f t="shared" si="85"/>
        <v>高俊英41272819660320728X</v>
      </c>
      <c r="E316" s="115" t="s">
        <v>1177</v>
      </c>
      <c r="F316" s="291"/>
      <c r="G316" s="115">
        <v>3</v>
      </c>
      <c r="H316" s="115">
        <v>14</v>
      </c>
      <c r="I316" s="115"/>
      <c r="J316" s="115">
        <v>1433</v>
      </c>
      <c r="K316" s="115">
        <v>55.05</v>
      </c>
      <c r="L316" s="115">
        <v>20000</v>
      </c>
      <c r="M316" s="181"/>
      <c r="N316" s="181"/>
      <c r="O316" s="431">
        <v>10143.5</v>
      </c>
      <c r="P316" s="115">
        <v>558400</v>
      </c>
      <c r="Q316" s="115" t="s">
        <v>66</v>
      </c>
      <c r="R316" s="115">
        <v>289400</v>
      </c>
      <c r="S316" s="115"/>
      <c r="T316" s="115" t="s">
        <v>47</v>
      </c>
      <c r="U316" s="115"/>
      <c r="V316" s="133">
        <v>269000</v>
      </c>
      <c r="W316" s="133">
        <v>3578</v>
      </c>
      <c r="X316" s="133">
        <v>550</v>
      </c>
      <c r="Y316" s="115"/>
      <c r="Z316" s="115" t="s">
        <v>48</v>
      </c>
      <c r="AA316" s="133"/>
      <c r="AB316" s="115"/>
      <c r="AC316" s="115"/>
      <c r="AD316" s="115"/>
      <c r="AE316" s="115"/>
      <c r="AF316" s="291"/>
      <c r="AG316" s="246">
        <v>43110</v>
      </c>
      <c r="AH316" s="133"/>
      <c r="AI316" s="132">
        <f t="shared" si="96"/>
        <v>562528</v>
      </c>
      <c r="AJ316" s="132">
        <f t="shared" si="97"/>
        <v>562528</v>
      </c>
      <c r="AK316" s="132">
        <f t="shared" si="95"/>
        <v>0</v>
      </c>
      <c r="AL316" s="176" t="s">
        <v>1178</v>
      </c>
      <c r="AM316" s="133" t="s">
        <v>854</v>
      </c>
      <c r="AN316" s="246">
        <v>44844</v>
      </c>
      <c r="AO316" s="259"/>
    </row>
    <row r="317" s="96" customFormat="1" customHeight="1" spans="1:41">
      <c r="A317" s="115" t="s">
        <v>1179</v>
      </c>
      <c r="B317" s="115" t="s">
        <v>1180</v>
      </c>
      <c r="C317" s="193" t="s">
        <v>1181</v>
      </c>
      <c r="D317" s="193" t="str">
        <f t="shared" si="85"/>
        <v>宿依楠612325198808131448</v>
      </c>
      <c r="E317" s="115" t="s">
        <v>1182</v>
      </c>
      <c r="F317" s="291"/>
      <c r="G317" s="115">
        <v>3</v>
      </c>
      <c r="H317" s="115">
        <v>13</v>
      </c>
      <c r="I317" s="115"/>
      <c r="J317" s="115">
        <v>1327</v>
      </c>
      <c r="K317" s="115">
        <v>58.41</v>
      </c>
      <c r="L317" s="115">
        <v>20000</v>
      </c>
      <c r="M317" s="181"/>
      <c r="N317" s="181"/>
      <c r="O317" s="431">
        <v>9498.51</v>
      </c>
      <c r="P317" s="115">
        <v>554808</v>
      </c>
      <c r="Q317" s="115" t="s">
        <v>66</v>
      </c>
      <c r="R317" s="115">
        <v>284808</v>
      </c>
      <c r="S317" s="115"/>
      <c r="T317" s="115" t="s">
        <v>47</v>
      </c>
      <c r="U317" s="115"/>
      <c r="V317" s="133">
        <v>270000</v>
      </c>
      <c r="W317" s="133">
        <v>3796</v>
      </c>
      <c r="X317" s="133">
        <v>550</v>
      </c>
      <c r="Y317" s="115"/>
      <c r="Z317" s="115" t="s">
        <v>48</v>
      </c>
      <c r="AA317" s="133"/>
      <c r="AB317" s="115">
        <v>1577</v>
      </c>
      <c r="AC317" s="115">
        <f>185220+657</f>
        <v>185877</v>
      </c>
      <c r="AD317" s="115"/>
      <c r="AE317" s="115"/>
      <c r="AF317" s="291"/>
      <c r="AG317" s="246">
        <v>43069</v>
      </c>
      <c r="AH317" s="133">
        <f>R317+W317+X317</f>
        <v>289154</v>
      </c>
      <c r="AI317" s="132">
        <f t="shared" si="96"/>
        <v>746608</v>
      </c>
      <c r="AJ317" s="132">
        <f t="shared" si="97"/>
        <v>559154</v>
      </c>
      <c r="AK317" s="132">
        <f t="shared" si="95"/>
        <v>187454</v>
      </c>
      <c r="AL317" s="176" t="s">
        <v>1183</v>
      </c>
      <c r="AM317" s="133" t="s">
        <v>854</v>
      </c>
      <c r="AN317" s="246">
        <v>44844</v>
      </c>
      <c r="AO317" s="259"/>
    </row>
    <row r="318" s="96" customFormat="1" customHeight="1" spans="1:41">
      <c r="A318" s="115" t="s">
        <v>1184</v>
      </c>
      <c r="B318" s="107" t="s">
        <v>1185</v>
      </c>
      <c r="C318" s="166" t="s">
        <v>1186</v>
      </c>
      <c r="D318" s="193" t="str">
        <f t="shared" si="85"/>
        <v>赵梅芝410105193510021045</v>
      </c>
      <c r="E318" s="166">
        <v>13838111759</v>
      </c>
      <c r="F318" s="156"/>
      <c r="G318" s="115">
        <v>6</v>
      </c>
      <c r="H318" s="115">
        <v>1</v>
      </c>
      <c r="I318" s="115">
        <v>18</v>
      </c>
      <c r="J318" s="115">
        <v>1808</v>
      </c>
      <c r="K318" s="115">
        <v>109.13</v>
      </c>
      <c r="L318" s="115">
        <v>17900</v>
      </c>
      <c r="M318" s="115"/>
      <c r="N318" s="115"/>
      <c r="O318" s="431">
        <v>15000</v>
      </c>
      <c r="P318" s="445">
        <f>ROUND(O318*K318,0)</f>
        <v>1636950</v>
      </c>
      <c r="Q318" s="445" t="s">
        <v>56</v>
      </c>
      <c r="R318" s="448">
        <v>1636950</v>
      </c>
      <c r="S318" s="448"/>
      <c r="T318" s="445" t="s">
        <v>47</v>
      </c>
      <c r="U318" s="450"/>
      <c r="V318" s="293"/>
      <c r="W318" s="293">
        <v>7093</v>
      </c>
      <c r="X318" s="293">
        <v>80</v>
      </c>
      <c r="Y318" s="115" t="s">
        <v>48</v>
      </c>
      <c r="Z318" s="246"/>
      <c r="AA318" s="115"/>
      <c r="AB318" s="115"/>
      <c r="AC318" s="115"/>
      <c r="AD318" s="115"/>
      <c r="AE318" s="291"/>
      <c r="AF318" s="246"/>
      <c r="AG318" s="246">
        <v>43299</v>
      </c>
      <c r="AH318" s="133">
        <f>AJ318</f>
        <v>1644123</v>
      </c>
      <c r="AI318" s="132">
        <f t="shared" si="96"/>
        <v>1644123</v>
      </c>
      <c r="AJ318" s="132">
        <f t="shared" si="97"/>
        <v>1644123</v>
      </c>
      <c r="AK318" s="132">
        <f t="shared" si="95"/>
        <v>0</v>
      </c>
      <c r="AL318" s="133"/>
      <c r="AM318" s="246" t="s">
        <v>886</v>
      </c>
      <c r="AN318" s="246">
        <v>44844</v>
      </c>
      <c r="AO318" s="259"/>
    </row>
    <row r="319" s="96" customFormat="1" customHeight="1" spans="1:41">
      <c r="A319" s="115" t="s">
        <v>1187</v>
      </c>
      <c r="B319" s="115" t="s">
        <v>1188</v>
      </c>
      <c r="C319" s="193" t="s">
        <v>1189</v>
      </c>
      <c r="D319" s="193" t="str">
        <f t="shared" si="85"/>
        <v>雷沛420204198601066517</v>
      </c>
      <c r="E319" s="115" t="s">
        <v>1190</v>
      </c>
      <c r="F319" s="291"/>
      <c r="G319" s="115">
        <v>3</v>
      </c>
      <c r="H319" s="115">
        <v>13</v>
      </c>
      <c r="I319" s="115"/>
      <c r="J319" s="115">
        <v>1302</v>
      </c>
      <c r="K319" s="115">
        <v>47.59</v>
      </c>
      <c r="L319" s="115">
        <v>20000</v>
      </c>
      <c r="M319" s="181"/>
      <c r="N319" s="181"/>
      <c r="O319" s="431">
        <v>13416</v>
      </c>
      <c r="P319" s="115">
        <v>638467</v>
      </c>
      <c r="Q319" s="115" t="s">
        <v>56</v>
      </c>
      <c r="R319" s="115">
        <v>638467</v>
      </c>
      <c r="S319" s="115"/>
      <c r="T319" s="115" t="s">
        <v>47</v>
      </c>
      <c r="U319" s="115"/>
      <c r="V319" s="133"/>
      <c r="W319" s="133">
        <v>3093</v>
      </c>
      <c r="X319" s="133">
        <v>550</v>
      </c>
      <c r="Y319" s="115"/>
      <c r="Z319" s="115" t="s">
        <v>48</v>
      </c>
      <c r="AA319" s="133"/>
      <c r="AB319" s="115"/>
      <c r="AC319" s="115"/>
      <c r="AD319" s="115"/>
      <c r="AE319" s="115"/>
      <c r="AF319" s="291"/>
      <c r="AG319" s="246">
        <v>43327</v>
      </c>
      <c r="AH319" s="133">
        <f>R319+W319+X319</f>
        <v>642110</v>
      </c>
      <c r="AI319" s="132">
        <f t="shared" si="96"/>
        <v>642110</v>
      </c>
      <c r="AJ319" s="132">
        <f t="shared" si="97"/>
        <v>642110</v>
      </c>
      <c r="AK319" s="132">
        <f t="shared" si="95"/>
        <v>0</v>
      </c>
      <c r="AL319" s="176"/>
      <c r="AM319" s="133" t="s">
        <v>854</v>
      </c>
      <c r="AN319" s="246">
        <v>44844</v>
      </c>
      <c r="AO319" s="259"/>
    </row>
    <row r="320" s="96" customFormat="1" customHeight="1" spans="1:41">
      <c r="A320" s="115" t="s">
        <v>1191</v>
      </c>
      <c r="B320" s="115" t="s">
        <v>1192</v>
      </c>
      <c r="C320" s="193"/>
      <c r="D320" s="193" t="str">
        <f t="shared" si="85"/>
        <v>韩军燕</v>
      </c>
      <c r="E320" s="115" t="s">
        <v>1193</v>
      </c>
      <c r="F320" s="291"/>
      <c r="G320" s="115">
        <v>6</v>
      </c>
      <c r="H320" s="115">
        <v>1</v>
      </c>
      <c r="I320" s="115">
        <v>11</v>
      </c>
      <c r="J320" s="115">
        <v>1108</v>
      </c>
      <c r="K320" s="115">
        <v>109.13</v>
      </c>
      <c r="L320" s="115">
        <v>17900</v>
      </c>
      <c r="M320" s="181"/>
      <c r="N320" s="181"/>
      <c r="O320" s="431">
        <v>14000</v>
      </c>
      <c r="P320" s="115">
        <v>1527820</v>
      </c>
      <c r="Q320" s="115" t="s">
        <v>46</v>
      </c>
      <c r="R320" s="115">
        <v>937820</v>
      </c>
      <c r="S320" s="115"/>
      <c r="T320" s="115" t="s">
        <v>47</v>
      </c>
      <c r="U320" s="115"/>
      <c r="V320" s="133">
        <v>590000</v>
      </c>
      <c r="W320" s="133">
        <v>7093</v>
      </c>
      <c r="X320" s="133">
        <v>80</v>
      </c>
      <c r="Y320" s="115"/>
      <c r="Z320" s="115" t="s">
        <v>48</v>
      </c>
      <c r="AA320" s="133"/>
      <c r="AB320" s="115">
        <v>1000</v>
      </c>
      <c r="AC320" s="115"/>
      <c r="AD320" s="115"/>
      <c r="AE320" s="115"/>
      <c r="AF320" s="291"/>
      <c r="AG320" s="246">
        <v>37399</v>
      </c>
      <c r="AH320" s="133"/>
      <c r="AI320" s="132">
        <f t="shared" ref="AI320:AI325" si="98">R320+V320+W320+X320+AA320+AB320+AC320+AD320</f>
        <v>1535993</v>
      </c>
      <c r="AJ320" s="132">
        <f t="shared" ref="AJ320:AJ325" si="99">R320+W320+V320+X320+AA320</f>
        <v>1534993</v>
      </c>
      <c r="AK320" s="132">
        <f t="shared" ref="AK320:AK325" si="100">AI320-AJ320</f>
        <v>1000</v>
      </c>
      <c r="AL320" s="176"/>
      <c r="AM320" s="133" t="s">
        <v>854</v>
      </c>
      <c r="AN320" s="246">
        <v>44844</v>
      </c>
      <c r="AO320" s="259"/>
    </row>
    <row r="321" s="96" customFormat="1" customHeight="1" spans="1:41">
      <c r="A321" s="115" t="s">
        <v>1194</v>
      </c>
      <c r="B321" s="115" t="s">
        <v>1195</v>
      </c>
      <c r="C321" s="193" t="s">
        <v>1196</v>
      </c>
      <c r="D321" s="193" t="str">
        <f t="shared" si="85"/>
        <v>胡瑞甫41050419490712101X</v>
      </c>
      <c r="E321" s="115">
        <v>13598135088</v>
      </c>
      <c r="F321" s="291"/>
      <c r="G321" s="115">
        <v>3</v>
      </c>
      <c r="H321" s="115">
        <v>11</v>
      </c>
      <c r="I321" s="115"/>
      <c r="J321" s="115">
        <v>1102</v>
      </c>
      <c r="K321" s="115">
        <v>47.59</v>
      </c>
      <c r="L321" s="115">
        <v>20000</v>
      </c>
      <c r="M321" s="181"/>
      <c r="N321" s="181"/>
      <c r="O321" s="431">
        <v>10096.4977269521</v>
      </c>
      <c r="P321" s="115">
        <v>480492</v>
      </c>
      <c r="Q321" s="115" t="s">
        <v>56</v>
      </c>
      <c r="R321" s="115">
        <f>500492-20000</f>
        <v>480492</v>
      </c>
      <c r="S321" s="115"/>
      <c r="T321" s="115" t="s">
        <v>47</v>
      </c>
      <c r="U321" s="115"/>
      <c r="V321" s="133"/>
      <c r="W321" s="133">
        <v>3093</v>
      </c>
      <c r="X321" s="133">
        <v>550</v>
      </c>
      <c r="Y321" s="115"/>
      <c r="Z321" s="115" t="s">
        <v>48</v>
      </c>
      <c r="AA321" s="133"/>
      <c r="AB321" s="115"/>
      <c r="AC321" s="115"/>
      <c r="AD321" s="115"/>
      <c r="AE321" s="115"/>
      <c r="AF321" s="291"/>
      <c r="AG321" s="246">
        <v>43839</v>
      </c>
      <c r="AH321" s="133"/>
      <c r="AI321" s="132">
        <f t="shared" si="98"/>
        <v>484135</v>
      </c>
      <c r="AJ321" s="132">
        <f t="shared" si="99"/>
        <v>484135</v>
      </c>
      <c r="AK321" s="132">
        <f t="shared" si="100"/>
        <v>0</v>
      </c>
      <c r="AL321" s="176"/>
      <c r="AM321" s="133" t="s">
        <v>854</v>
      </c>
      <c r="AN321" s="246">
        <v>44844</v>
      </c>
      <c r="AO321" s="259"/>
    </row>
    <row r="322" s="96" customFormat="1" customHeight="1" spans="1:41">
      <c r="A322" s="115" t="s">
        <v>1197</v>
      </c>
      <c r="B322" s="97" t="s">
        <v>1195</v>
      </c>
      <c r="C322" s="193" t="s">
        <v>1196</v>
      </c>
      <c r="D322" s="193" t="str">
        <f t="shared" si="85"/>
        <v>胡瑞甫41050419490712101X</v>
      </c>
      <c r="E322" s="115">
        <v>13598135088</v>
      </c>
      <c r="F322" s="291"/>
      <c r="G322" s="115">
        <v>3</v>
      </c>
      <c r="H322" s="115">
        <v>11</v>
      </c>
      <c r="I322" s="115"/>
      <c r="J322" s="115">
        <v>1103</v>
      </c>
      <c r="K322" s="115">
        <v>52.4</v>
      </c>
      <c r="L322" s="115">
        <v>20000</v>
      </c>
      <c r="M322" s="181"/>
      <c r="N322" s="181"/>
      <c r="O322" s="431">
        <v>9530.65310276454</v>
      </c>
      <c r="P322" s="115">
        <v>499406</v>
      </c>
      <c r="Q322" s="115" t="s">
        <v>56</v>
      </c>
      <c r="R322" s="115">
        <f>519406-20000</f>
        <v>499406</v>
      </c>
      <c r="S322" s="115"/>
      <c r="T322" s="115" t="s">
        <v>47</v>
      </c>
      <c r="U322" s="97"/>
      <c r="V322" s="133"/>
      <c r="W322" s="133">
        <v>3406</v>
      </c>
      <c r="X322" s="133">
        <v>550</v>
      </c>
      <c r="Y322" s="115"/>
      <c r="Z322" s="115" t="s">
        <v>48</v>
      </c>
      <c r="AA322" s="133"/>
      <c r="AB322" s="115"/>
      <c r="AC322" s="115"/>
      <c r="AD322" s="115"/>
      <c r="AE322" s="115"/>
      <c r="AF322" s="291"/>
      <c r="AG322" s="246">
        <v>43839</v>
      </c>
      <c r="AH322" s="133"/>
      <c r="AI322" s="132">
        <f t="shared" si="98"/>
        <v>503362</v>
      </c>
      <c r="AJ322" s="132">
        <f t="shared" si="99"/>
        <v>503362</v>
      </c>
      <c r="AK322" s="132">
        <f t="shared" si="100"/>
        <v>0</v>
      </c>
      <c r="AL322" s="176"/>
      <c r="AM322" s="133" t="s">
        <v>854</v>
      </c>
      <c r="AN322" s="246">
        <v>44844</v>
      </c>
      <c r="AO322" s="259"/>
    </row>
    <row r="323" s="96" customFormat="1" customHeight="1" spans="1:41">
      <c r="A323" s="115" t="s">
        <v>1198</v>
      </c>
      <c r="B323" s="115" t="s">
        <v>1195</v>
      </c>
      <c r="C323" s="193" t="s">
        <v>1196</v>
      </c>
      <c r="D323" s="193" t="str">
        <f t="shared" ref="D323:D386" si="101">B323&amp;C323</f>
        <v>胡瑞甫41050419490712101X</v>
      </c>
      <c r="E323" s="115">
        <v>13598135088</v>
      </c>
      <c r="F323" s="291"/>
      <c r="G323" s="115">
        <v>3</v>
      </c>
      <c r="H323" s="115">
        <v>10</v>
      </c>
      <c r="I323" s="115"/>
      <c r="J323" s="115">
        <v>1002</v>
      </c>
      <c r="K323" s="115">
        <v>47.59</v>
      </c>
      <c r="L323" s="115">
        <v>20000</v>
      </c>
      <c r="M323" s="181"/>
      <c r="N323" s="181"/>
      <c r="O323" s="431">
        <v>9838.08426952141</v>
      </c>
      <c r="P323" s="115">
        <v>468194</v>
      </c>
      <c r="Q323" s="115" t="s">
        <v>56</v>
      </c>
      <c r="R323" s="115">
        <v>468194</v>
      </c>
      <c r="S323" s="115"/>
      <c r="T323" s="115" t="s">
        <v>47</v>
      </c>
      <c r="U323" s="115"/>
      <c r="V323" s="133"/>
      <c r="W323" s="133">
        <v>3093</v>
      </c>
      <c r="X323" s="133">
        <v>550</v>
      </c>
      <c r="Y323" s="115"/>
      <c r="Z323" s="115" t="s">
        <v>48</v>
      </c>
      <c r="AA323" s="133">
        <v>20000</v>
      </c>
      <c r="AB323" s="115"/>
      <c r="AC323" s="115"/>
      <c r="AD323" s="115"/>
      <c r="AE323" s="115"/>
      <c r="AF323" s="291"/>
      <c r="AG323" s="246">
        <v>43972</v>
      </c>
      <c r="AH323" s="133"/>
      <c r="AI323" s="132">
        <f t="shared" si="98"/>
        <v>491837</v>
      </c>
      <c r="AJ323" s="132">
        <f t="shared" si="99"/>
        <v>491837</v>
      </c>
      <c r="AK323" s="132">
        <f t="shared" si="100"/>
        <v>0</v>
      </c>
      <c r="AL323" s="176" t="s">
        <v>1199</v>
      </c>
      <c r="AM323" s="133" t="s">
        <v>854</v>
      </c>
      <c r="AN323" s="246">
        <v>44844</v>
      </c>
      <c r="AO323" s="259"/>
    </row>
    <row r="324" s="96" customFormat="1" customHeight="1" spans="1:41">
      <c r="A324" s="115" t="s">
        <v>1200</v>
      </c>
      <c r="B324" s="115" t="s">
        <v>1195</v>
      </c>
      <c r="C324" s="193" t="s">
        <v>1196</v>
      </c>
      <c r="D324" s="193" t="str">
        <f t="shared" si="101"/>
        <v>胡瑞甫41050419490712101X</v>
      </c>
      <c r="E324" s="115">
        <v>13598135088</v>
      </c>
      <c r="F324" s="291"/>
      <c r="G324" s="115">
        <v>3</v>
      </c>
      <c r="H324" s="115">
        <v>10</v>
      </c>
      <c r="I324" s="115"/>
      <c r="J324" s="115">
        <v>1003</v>
      </c>
      <c r="K324" s="115">
        <v>52.4</v>
      </c>
      <c r="L324" s="115">
        <v>20000</v>
      </c>
      <c r="M324" s="181"/>
      <c r="N324" s="181"/>
      <c r="O324" s="431">
        <v>9285.09975042898</v>
      </c>
      <c r="P324" s="115">
        <v>486539</v>
      </c>
      <c r="Q324" s="115" t="s">
        <v>56</v>
      </c>
      <c r="R324" s="115">
        <v>486539</v>
      </c>
      <c r="S324" s="115"/>
      <c r="T324" s="115" t="s">
        <v>47</v>
      </c>
      <c r="U324" s="115"/>
      <c r="V324" s="133"/>
      <c r="W324" s="133">
        <v>3406</v>
      </c>
      <c r="X324" s="133">
        <v>550</v>
      </c>
      <c r="Y324" s="115"/>
      <c r="Z324" s="115" t="s">
        <v>48</v>
      </c>
      <c r="AA324" s="133">
        <v>20000</v>
      </c>
      <c r="AB324" s="115"/>
      <c r="AC324" s="115"/>
      <c r="AD324" s="115"/>
      <c r="AE324" s="115"/>
      <c r="AF324" s="291"/>
      <c r="AG324" s="246">
        <v>43972</v>
      </c>
      <c r="AH324" s="133"/>
      <c r="AI324" s="132">
        <f t="shared" si="98"/>
        <v>510495</v>
      </c>
      <c r="AJ324" s="132">
        <f t="shared" si="99"/>
        <v>510495</v>
      </c>
      <c r="AK324" s="132">
        <f t="shared" si="100"/>
        <v>0</v>
      </c>
      <c r="AL324" s="176" t="s">
        <v>1199</v>
      </c>
      <c r="AM324" s="133" t="s">
        <v>854</v>
      </c>
      <c r="AN324" s="246">
        <v>44844</v>
      </c>
      <c r="AO324" s="259"/>
    </row>
    <row r="325" s="96" customFormat="1" customHeight="1" spans="1:41">
      <c r="A325" s="115" t="s">
        <v>1201</v>
      </c>
      <c r="B325" s="107" t="s">
        <v>1202</v>
      </c>
      <c r="C325" s="166" t="s">
        <v>1203</v>
      </c>
      <c r="D325" s="193" t="str">
        <f t="shared" si="101"/>
        <v>彭羽佳41010319840601008x</v>
      </c>
      <c r="E325" s="166" t="s">
        <v>1204</v>
      </c>
      <c r="F325" s="156"/>
      <c r="G325" s="115">
        <v>3</v>
      </c>
      <c r="H325" s="115">
        <v>12</v>
      </c>
      <c r="I325" s="115"/>
      <c r="J325" s="115">
        <v>1206</v>
      </c>
      <c r="K325" s="115">
        <v>61.66</v>
      </c>
      <c r="L325" s="115">
        <v>20000</v>
      </c>
      <c r="M325" s="115"/>
      <c r="N325" s="115"/>
      <c r="O325" s="431">
        <v>9235.29</v>
      </c>
      <c r="P325" s="445">
        <v>569448</v>
      </c>
      <c r="Q325" s="445" t="s">
        <v>66</v>
      </c>
      <c r="R325" s="449">
        <v>289448</v>
      </c>
      <c r="S325" s="449"/>
      <c r="T325" s="293" t="s">
        <v>47</v>
      </c>
      <c r="U325" s="293"/>
      <c r="V325" s="133">
        <v>280000</v>
      </c>
      <c r="W325" s="133">
        <v>4007</v>
      </c>
      <c r="X325" s="133">
        <v>550</v>
      </c>
      <c r="Y325" s="293"/>
      <c r="Z325" s="115" t="s">
        <v>48</v>
      </c>
      <c r="AA325" s="246"/>
      <c r="AB325" s="115"/>
      <c r="AC325" s="115"/>
      <c r="AD325" s="115"/>
      <c r="AE325" s="181"/>
      <c r="AF325" s="181"/>
      <c r="AG325" s="246">
        <v>42542</v>
      </c>
      <c r="AH325" s="181"/>
      <c r="AI325" s="132">
        <f t="shared" si="98"/>
        <v>574005</v>
      </c>
      <c r="AJ325" s="132">
        <f t="shared" si="99"/>
        <v>574005</v>
      </c>
      <c r="AK325" s="132">
        <f t="shared" si="100"/>
        <v>0</v>
      </c>
      <c r="AL325" s="181"/>
      <c r="AM325" s="115" t="s">
        <v>974</v>
      </c>
      <c r="AN325" s="246">
        <v>44845</v>
      </c>
      <c r="AO325" s="259"/>
    </row>
    <row r="326" s="96" customFormat="1" customHeight="1" spans="1:41">
      <c r="A326" s="115" t="s">
        <v>1205</v>
      </c>
      <c r="B326" s="115" t="s">
        <v>1206</v>
      </c>
      <c r="C326" s="193" t="s">
        <v>1207</v>
      </c>
      <c r="D326" s="193" t="str">
        <f t="shared" si="101"/>
        <v>张建强410711197703051011</v>
      </c>
      <c r="E326" s="115">
        <v>13838257753</v>
      </c>
      <c r="F326" s="291"/>
      <c r="G326" s="115">
        <v>10</v>
      </c>
      <c r="H326" s="115">
        <v>2</v>
      </c>
      <c r="I326" s="115">
        <v>21</v>
      </c>
      <c r="J326" s="115">
        <v>2106</v>
      </c>
      <c r="K326" s="115">
        <v>99.52</v>
      </c>
      <c r="L326" s="115">
        <v>8620</v>
      </c>
      <c r="M326" s="181"/>
      <c r="N326" s="181"/>
      <c r="O326" s="431">
        <v>8520</v>
      </c>
      <c r="P326" s="115">
        <f>ROUND(O326*K326,0)</f>
        <v>847910</v>
      </c>
      <c r="Q326" s="115" t="s">
        <v>66</v>
      </c>
      <c r="R326" s="115">
        <v>427910</v>
      </c>
      <c r="S326" s="115"/>
      <c r="T326" s="115">
        <v>420000.4</v>
      </c>
      <c r="U326" s="115"/>
      <c r="V326" s="133"/>
      <c r="W326" s="133">
        <v>6468</v>
      </c>
      <c r="X326" s="133">
        <v>80</v>
      </c>
      <c r="Y326" s="115"/>
      <c r="Z326" s="115"/>
      <c r="AA326" s="133"/>
      <c r="AB326" s="115"/>
      <c r="AC326" s="115"/>
      <c r="AD326" s="115"/>
      <c r="AE326" s="115"/>
      <c r="AF326" s="291"/>
      <c r="AG326" s="246">
        <v>43096</v>
      </c>
      <c r="AH326" s="133">
        <f>AJ326</f>
        <v>434458</v>
      </c>
      <c r="AI326" s="132">
        <f t="shared" ref="AI326:AI332" si="102">R326+V326+W326+X326+AA326+AB326+AC326+AD326</f>
        <v>434458</v>
      </c>
      <c r="AJ326" s="132">
        <f t="shared" ref="AJ326:AJ332" si="103">R326+W326+V326+X326+AA326</f>
        <v>434458</v>
      </c>
      <c r="AK326" s="132">
        <f t="shared" ref="AK326:AK332" si="104">AI326-AJ326</f>
        <v>0</v>
      </c>
      <c r="AL326" s="176"/>
      <c r="AM326" s="133" t="s">
        <v>886</v>
      </c>
      <c r="AN326" s="246">
        <v>44845</v>
      </c>
      <c r="AO326" s="259"/>
    </row>
    <row r="327" s="96" customFormat="1" customHeight="1" spans="1:41">
      <c r="A327" s="115" t="s">
        <v>1208</v>
      </c>
      <c r="B327" s="115" t="s">
        <v>1209</v>
      </c>
      <c r="C327" s="546" t="s">
        <v>1210</v>
      </c>
      <c r="D327" s="193" t="str">
        <f t="shared" si="101"/>
        <v>潘正阳410503199004145033</v>
      </c>
      <c r="E327" s="115">
        <v>15617775090</v>
      </c>
      <c r="F327" s="291"/>
      <c r="G327" s="115">
        <v>6</v>
      </c>
      <c r="H327" s="115">
        <v>1</v>
      </c>
      <c r="I327" s="115">
        <v>16</v>
      </c>
      <c r="J327" s="115">
        <v>1607</v>
      </c>
      <c r="K327" s="115">
        <v>86.33</v>
      </c>
      <c r="L327" s="115">
        <v>10100</v>
      </c>
      <c r="M327" s="181"/>
      <c r="N327" s="181"/>
      <c r="O327" s="431">
        <v>10000</v>
      </c>
      <c r="P327" s="115">
        <f>ROUND(O327*K327,0)</f>
        <v>863300</v>
      </c>
      <c r="Q327" s="115" t="s">
        <v>56</v>
      </c>
      <c r="R327" s="115">
        <v>863300</v>
      </c>
      <c r="S327" s="115"/>
      <c r="T327" s="115" t="s">
        <v>47</v>
      </c>
      <c r="U327" s="115"/>
      <c r="V327" s="133"/>
      <c r="W327" s="133">
        <v>5611</v>
      </c>
      <c r="X327" s="133">
        <v>80</v>
      </c>
      <c r="Y327" s="97"/>
      <c r="Z327" s="115" t="s">
        <v>48</v>
      </c>
      <c r="AA327" s="133"/>
      <c r="AB327" s="115"/>
      <c r="AC327" s="115"/>
      <c r="AD327" s="115"/>
      <c r="AE327" s="115"/>
      <c r="AF327" s="291"/>
      <c r="AG327" s="246">
        <v>43973</v>
      </c>
      <c r="AH327" s="133"/>
      <c r="AI327" s="132">
        <f t="shared" si="102"/>
        <v>868991</v>
      </c>
      <c r="AJ327" s="132">
        <f t="shared" si="103"/>
        <v>868991</v>
      </c>
      <c r="AK327" s="132">
        <f t="shared" si="104"/>
        <v>0</v>
      </c>
      <c r="AL327" s="176"/>
      <c r="AM327" s="133" t="s">
        <v>886</v>
      </c>
      <c r="AN327" s="246">
        <v>44845</v>
      </c>
      <c r="AO327" s="259"/>
    </row>
    <row r="328" s="96" customFormat="1" customHeight="1" spans="1:41">
      <c r="A328" s="115" t="s">
        <v>1211</v>
      </c>
      <c r="B328" s="115" t="s">
        <v>1212</v>
      </c>
      <c r="C328" s="193" t="s">
        <v>1213</v>
      </c>
      <c r="D328" s="193" t="str">
        <f t="shared" si="101"/>
        <v>李学军41010319661230133X</v>
      </c>
      <c r="E328" s="115">
        <v>13203721236</v>
      </c>
      <c r="F328" s="291"/>
      <c r="G328" s="115">
        <v>3</v>
      </c>
      <c r="H328" s="115"/>
      <c r="I328" s="115">
        <v>11</v>
      </c>
      <c r="J328" s="115">
        <v>1110</v>
      </c>
      <c r="K328" s="115">
        <v>63</v>
      </c>
      <c r="L328" s="115">
        <v>20000</v>
      </c>
      <c r="M328" s="181"/>
      <c r="N328" s="181"/>
      <c r="O328" s="431">
        <v>8870.22</v>
      </c>
      <c r="P328" s="115">
        <f>ROUND(O328*K328,0)</f>
        <v>558824</v>
      </c>
      <c r="Q328" s="115" t="s">
        <v>56</v>
      </c>
      <c r="R328" s="115">
        <v>558824</v>
      </c>
      <c r="S328" s="115"/>
      <c r="T328" s="115" t="s">
        <v>47</v>
      </c>
      <c r="U328" s="115"/>
      <c r="V328" s="133"/>
      <c r="W328" s="133">
        <v>4095</v>
      </c>
      <c r="X328" s="133">
        <v>550</v>
      </c>
      <c r="Y328" s="97"/>
      <c r="Z328" s="115" t="s">
        <v>48</v>
      </c>
      <c r="AA328" s="133"/>
      <c r="AB328" s="115"/>
      <c r="AC328" s="115"/>
      <c r="AD328" s="115"/>
      <c r="AE328" s="115"/>
      <c r="AF328" s="291"/>
      <c r="AG328" s="246">
        <v>43080</v>
      </c>
      <c r="AH328" s="133">
        <f>W328+X328</f>
        <v>4645</v>
      </c>
      <c r="AI328" s="132">
        <f t="shared" si="102"/>
        <v>563469</v>
      </c>
      <c r="AJ328" s="132">
        <f t="shared" si="103"/>
        <v>563469</v>
      </c>
      <c r="AK328" s="132">
        <f t="shared" si="104"/>
        <v>0</v>
      </c>
      <c r="AL328" s="176"/>
      <c r="AM328" s="133" t="s">
        <v>886</v>
      </c>
      <c r="AN328" s="246">
        <v>44845</v>
      </c>
      <c r="AO328" s="259"/>
    </row>
    <row r="329" s="96" customFormat="1" customHeight="1" spans="1:41">
      <c r="A329" s="115" t="s">
        <v>1214</v>
      </c>
      <c r="B329" s="115" t="s">
        <v>1215</v>
      </c>
      <c r="C329" s="193" t="s">
        <v>1216</v>
      </c>
      <c r="D329" s="193" t="str">
        <f t="shared" si="101"/>
        <v>陈瑞英410102196209263015</v>
      </c>
      <c r="E329" s="115">
        <v>13803990265</v>
      </c>
      <c r="F329" s="291"/>
      <c r="G329" s="115">
        <v>3</v>
      </c>
      <c r="H329" s="115">
        <v>8</v>
      </c>
      <c r="I329" s="115"/>
      <c r="J329" s="115">
        <v>816</v>
      </c>
      <c r="K329" s="115">
        <v>67.42</v>
      </c>
      <c r="L329" s="115">
        <v>20000</v>
      </c>
      <c r="M329" s="181"/>
      <c r="N329" s="181"/>
      <c r="O329" s="431">
        <v>8622.52</v>
      </c>
      <c r="P329" s="115">
        <v>581330</v>
      </c>
      <c r="Q329" s="115" t="s">
        <v>66</v>
      </c>
      <c r="R329" s="115">
        <v>331330</v>
      </c>
      <c r="S329" s="115"/>
      <c r="T329" s="115">
        <v>250000</v>
      </c>
      <c r="U329" s="115"/>
      <c r="V329" s="133"/>
      <c r="W329" s="133">
        <v>4382</v>
      </c>
      <c r="X329" s="133">
        <v>550</v>
      </c>
      <c r="Y329" s="97"/>
      <c r="Z329" s="115" t="s">
        <v>48</v>
      </c>
      <c r="AA329" s="133"/>
      <c r="AB329" s="115"/>
      <c r="AC329" s="115"/>
      <c r="AD329" s="115"/>
      <c r="AE329" s="115"/>
      <c r="AF329" s="291"/>
      <c r="AG329" s="246">
        <v>44155</v>
      </c>
      <c r="AH329" s="133"/>
      <c r="AI329" s="132">
        <f t="shared" si="102"/>
        <v>336262</v>
      </c>
      <c r="AJ329" s="132">
        <f t="shared" si="103"/>
        <v>336262</v>
      </c>
      <c r="AK329" s="132">
        <f t="shared" si="104"/>
        <v>0</v>
      </c>
      <c r="AL329" s="176"/>
      <c r="AM329" s="133" t="s">
        <v>886</v>
      </c>
      <c r="AN329" s="246">
        <v>44845</v>
      </c>
      <c r="AO329" s="259"/>
    </row>
    <row r="330" s="97" customFormat="1" customHeight="1" spans="1:45">
      <c r="A330" s="115" t="s">
        <v>1217</v>
      </c>
      <c r="B330" s="107" t="s">
        <v>1218</v>
      </c>
      <c r="C330" s="166" t="s">
        <v>1219</v>
      </c>
      <c r="D330" s="193" t="str">
        <f t="shared" si="101"/>
        <v>田莹410112196403044417</v>
      </c>
      <c r="E330" s="166" t="s">
        <v>1220</v>
      </c>
      <c r="F330" s="156"/>
      <c r="G330" s="115">
        <v>3</v>
      </c>
      <c r="H330" s="115">
        <v>21</v>
      </c>
      <c r="I330" s="115"/>
      <c r="J330" s="115">
        <v>2120</v>
      </c>
      <c r="K330" s="115">
        <v>73.25</v>
      </c>
      <c r="L330" s="115">
        <v>20000</v>
      </c>
      <c r="M330" s="115"/>
      <c r="N330" s="115"/>
      <c r="O330" s="431">
        <v>10000</v>
      </c>
      <c r="P330" s="445">
        <v>732500</v>
      </c>
      <c r="Q330" s="445" t="s">
        <v>56</v>
      </c>
      <c r="R330" s="448">
        <v>732500</v>
      </c>
      <c r="S330" s="448"/>
      <c r="T330" s="293" t="s">
        <v>47</v>
      </c>
      <c r="U330" s="293"/>
      <c r="V330" s="293"/>
      <c r="W330" s="293">
        <v>4761</v>
      </c>
      <c r="X330" s="293">
        <v>550</v>
      </c>
      <c r="Y330" s="450"/>
      <c r="Z330" s="115" t="s">
        <v>48</v>
      </c>
      <c r="AA330" s="246"/>
      <c r="AB330" s="115">
        <v>4</v>
      </c>
      <c r="AC330" s="115"/>
      <c r="AD330" s="115"/>
      <c r="AE330" s="181"/>
      <c r="AF330" s="181"/>
      <c r="AG330" s="246">
        <v>43979</v>
      </c>
      <c r="AH330" s="181"/>
      <c r="AI330" s="132">
        <f t="shared" si="102"/>
        <v>737815</v>
      </c>
      <c r="AJ330" s="132">
        <f t="shared" si="103"/>
        <v>737811</v>
      </c>
      <c r="AK330" s="132">
        <f t="shared" si="104"/>
        <v>4</v>
      </c>
      <c r="AL330" s="176" t="s">
        <v>1221</v>
      </c>
      <c r="AM330" s="115" t="s">
        <v>974</v>
      </c>
      <c r="AN330" s="246">
        <v>44845</v>
      </c>
      <c r="AO330" s="259"/>
      <c r="AP330" s="96"/>
      <c r="AQ330" s="96"/>
      <c r="AR330" s="96"/>
      <c r="AS330" s="96"/>
    </row>
    <row r="331" s="97" customFormat="1" customHeight="1" spans="1:45">
      <c r="A331" s="115" t="s">
        <v>1222</v>
      </c>
      <c r="B331" s="115" t="s">
        <v>1223</v>
      </c>
      <c r="C331" s="193" t="s">
        <v>1224</v>
      </c>
      <c r="D331" s="193" t="str">
        <f t="shared" si="101"/>
        <v>张剑锐41010419780820601X</v>
      </c>
      <c r="E331" s="115">
        <v>13733890009</v>
      </c>
      <c r="F331" s="291"/>
      <c r="G331" s="115">
        <v>3</v>
      </c>
      <c r="H331" s="115">
        <v>13</v>
      </c>
      <c r="I331" s="115"/>
      <c r="J331" s="115">
        <v>1329</v>
      </c>
      <c r="K331" s="115">
        <v>57.45</v>
      </c>
      <c r="L331" s="115">
        <v>20000</v>
      </c>
      <c r="M331" s="181"/>
      <c r="N331" s="181"/>
      <c r="O331" s="431">
        <v>9692.77</v>
      </c>
      <c r="P331" s="115">
        <v>556850</v>
      </c>
      <c r="Q331" s="115" t="s">
        <v>66</v>
      </c>
      <c r="R331" s="115">
        <v>356850</v>
      </c>
      <c r="S331" s="115"/>
      <c r="T331" s="115" t="s">
        <v>47</v>
      </c>
      <c r="U331" s="115"/>
      <c r="V331" s="133">
        <v>200000</v>
      </c>
      <c r="W331" s="133">
        <v>3734</v>
      </c>
      <c r="X331" s="133">
        <v>550</v>
      </c>
      <c r="Z331" s="115" t="s">
        <v>48</v>
      </c>
      <c r="AA331" s="133"/>
      <c r="AB331" s="115"/>
      <c r="AC331" s="115"/>
      <c r="AD331" s="115"/>
      <c r="AE331" s="115"/>
      <c r="AF331" s="291"/>
      <c r="AG331" s="246">
        <v>43092</v>
      </c>
      <c r="AH331" s="133">
        <f>R331+W331+X331</f>
        <v>361134</v>
      </c>
      <c r="AI331" s="132">
        <f t="shared" si="102"/>
        <v>561134</v>
      </c>
      <c r="AJ331" s="132">
        <f t="shared" si="103"/>
        <v>561134</v>
      </c>
      <c r="AK331" s="132">
        <f t="shared" si="104"/>
        <v>0</v>
      </c>
      <c r="AL331" s="176"/>
      <c r="AM331" s="133" t="s">
        <v>886</v>
      </c>
      <c r="AN331" s="246">
        <v>44845</v>
      </c>
      <c r="AO331" s="259"/>
      <c r="AP331" s="96"/>
      <c r="AQ331" s="96"/>
      <c r="AR331" s="96"/>
      <c r="AS331" s="96"/>
    </row>
    <row r="332" s="97" customFormat="1" customHeight="1" spans="1:45">
      <c r="A332" s="115" t="s">
        <v>1225</v>
      </c>
      <c r="B332" s="115" t="s">
        <v>1226</v>
      </c>
      <c r="C332" s="193" t="s">
        <v>1227</v>
      </c>
      <c r="D332" s="193" t="str">
        <f t="shared" si="101"/>
        <v>崔凤贺412821197906227259</v>
      </c>
      <c r="E332" s="115" t="s">
        <v>1228</v>
      </c>
      <c r="F332" s="291"/>
      <c r="G332" s="115">
        <v>3</v>
      </c>
      <c r="H332" s="115">
        <v>19</v>
      </c>
      <c r="I332" s="115"/>
      <c r="J332" s="115">
        <v>1903</v>
      </c>
      <c r="K332" s="115">
        <v>52.4</v>
      </c>
      <c r="L332" s="115">
        <v>30000</v>
      </c>
      <c r="M332" s="181"/>
      <c r="N332" s="181"/>
      <c r="O332" s="431">
        <v>14885.5</v>
      </c>
      <c r="P332" s="115">
        <v>780000</v>
      </c>
      <c r="Q332" s="115" t="s">
        <v>66</v>
      </c>
      <c r="R332" s="115">
        <v>280000</v>
      </c>
      <c r="S332" s="115"/>
      <c r="T332" s="115">
        <v>390000</v>
      </c>
      <c r="U332" s="115">
        <v>110000</v>
      </c>
      <c r="V332" s="133"/>
      <c r="W332" s="133">
        <v>3406</v>
      </c>
      <c r="X332" s="133">
        <v>550</v>
      </c>
      <c r="Z332" s="115"/>
      <c r="AA332" s="133"/>
      <c r="AB332" s="115"/>
      <c r="AC332" s="115"/>
      <c r="AD332" s="115"/>
      <c r="AE332" s="115"/>
      <c r="AF332" s="291"/>
      <c r="AG332" s="246">
        <v>43290</v>
      </c>
      <c r="AH332" s="133">
        <f>AJ332</f>
        <v>283956</v>
      </c>
      <c r="AI332" s="132">
        <f t="shared" si="102"/>
        <v>283956</v>
      </c>
      <c r="AJ332" s="132">
        <f t="shared" si="103"/>
        <v>283956</v>
      </c>
      <c r="AK332" s="132">
        <f t="shared" si="104"/>
        <v>0</v>
      </c>
      <c r="AL332" s="176"/>
      <c r="AM332" s="133" t="s">
        <v>886</v>
      </c>
      <c r="AN332" s="246">
        <v>44845</v>
      </c>
      <c r="AO332" s="259"/>
      <c r="AP332" s="96"/>
      <c r="AQ332" s="96"/>
      <c r="AR332" s="96"/>
      <c r="AS332" s="96"/>
    </row>
    <row r="333" s="97" customFormat="1" customHeight="1" spans="1:45">
      <c r="A333" s="115" t="s">
        <v>1229</v>
      </c>
      <c r="B333" s="115" t="s">
        <v>1230</v>
      </c>
      <c r="C333" s="193" t="s">
        <v>1231</v>
      </c>
      <c r="D333" s="193" t="str">
        <f t="shared" si="101"/>
        <v>王丁丁320103196910041028</v>
      </c>
      <c r="E333" s="115">
        <v>13725222530</v>
      </c>
      <c r="F333" s="291"/>
      <c r="G333" s="115">
        <v>3</v>
      </c>
      <c r="H333" s="115">
        <v>12</v>
      </c>
      <c r="I333" s="115"/>
      <c r="J333" s="115">
        <v>1228</v>
      </c>
      <c r="K333" s="115">
        <v>64.13</v>
      </c>
      <c r="L333" s="115">
        <v>20000</v>
      </c>
      <c r="M333" s="181"/>
      <c r="N333" s="181"/>
      <c r="O333" s="431">
        <v>9437.83</v>
      </c>
      <c r="P333" s="115">
        <v>605248</v>
      </c>
      <c r="Q333" s="115" t="s">
        <v>66</v>
      </c>
      <c r="R333" s="115">
        <v>305248</v>
      </c>
      <c r="S333" s="115"/>
      <c r="T333" s="115" t="s">
        <v>47</v>
      </c>
      <c r="U333" s="115"/>
      <c r="V333" s="133">
        <v>300000</v>
      </c>
      <c r="W333" s="133">
        <v>4168</v>
      </c>
      <c r="X333" s="133">
        <v>550</v>
      </c>
      <c r="Z333" s="115" t="s">
        <v>48</v>
      </c>
      <c r="AA333" s="133"/>
      <c r="AB333" s="115"/>
      <c r="AC333" s="115"/>
      <c r="AD333" s="115"/>
      <c r="AE333" s="115"/>
      <c r="AF333" s="291"/>
      <c r="AG333" s="246"/>
      <c r="AH333" s="133"/>
      <c r="AI333" s="132">
        <f t="shared" ref="AI333:AI342" si="105">R333+V333+W333+X333+AA333+AB333+AC333+AD333</f>
        <v>609966</v>
      </c>
      <c r="AJ333" s="132">
        <f t="shared" ref="AJ333:AJ342" si="106">R333+W333+V333+X333+AA333</f>
        <v>609966</v>
      </c>
      <c r="AK333" s="132">
        <f t="shared" ref="AK333:AK342" si="107">AI333-AJ333</f>
        <v>0</v>
      </c>
      <c r="AL333" s="176" t="s">
        <v>1232</v>
      </c>
      <c r="AM333" s="133" t="s">
        <v>886</v>
      </c>
      <c r="AN333" s="246">
        <v>44845</v>
      </c>
      <c r="AO333" s="259"/>
      <c r="AP333" s="96"/>
      <c r="AQ333" s="96"/>
      <c r="AR333" s="96"/>
      <c r="AS333" s="96"/>
    </row>
    <row r="334" s="97" customFormat="1" customHeight="1" spans="1:45">
      <c r="A334" s="115" t="s">
        <v>1233</v>
      </c>
      <c r="B334" s="115" t="s">
        <v>1234</v>
      </c>
      <c r="C334" s="193" t="s">
        <v>1235</v>
      </c>
      <c r="D334" s="193" t="str">
        <f t="shared" si="101"/>
        <v>杨观军41010319630429131X</v>
      </c>
      <c r="E334" s="115">
        <v>13938558008</v>
      </c>
      <c r="F334" s="291"/>
      <c r="G334" s="115">
        <v>3</v>
      </c>
      <c r="H334" s="115">
        <v>13</v>
      </c>
      <c r="I334" s="115"/>
      <c r="J334" s="115">
        <v>1334</v>
      </c>
      <c r="K334" s="115">
        <v>55.51</v>
      </c>
      <c r="L334" s="115">
        <v>20000</v>
      </c>
      <c r="M334" s="181"/>
      <c r="N334" s="181"/>
      <c r="O334" s="431">
        <v>9740.8</v>
      </c>
      <c r="P334" s="115">
        <v>540712</v>
      </c>
      <c r="Q334" s="115" t="s">
        <v>56</v>
      </c>
      <c r="R334" s="115">
        <v>540712</v>
      </c>
      <c r="S334" s="115"/>
      <c r="T334" s="115" t="s">
        <v>47</v>
      </c>
      <c r="U334" s="115"/>
      <c r="V334" s="133"/>
      <c r="W334" s="133">
        <v>3608</v>
      </c>
      <c r="X334" s="133">
        <v>550</v>
      </c>
      <c r="Z334" s="115" t="s">
        <v>48</v>
      </c>
      <c r="AA334" s="133"/>
      <c r="AB334" s="115"/>
      <c r="AC334" s="115"/>
      <c r="AD334" s="115"/>
      <c r="AE334" s="115"/>
      <c r="AF334" s="291"/>
      <c r="AG334" s="246">
        <v>43077</v>
      </c>
      <c r="AH334" s="133">
        <f>AJ334</f>
        <v>544870</v>
      </c>
      <c r="AI334" s="132">
        <f t="shared" si="105"/>
        <v>544870</v>
      </c>
      <c r="AJ334" s="132">
        <f t="shared" si="106"/>
        <v>544870</v>
      </c>
      <c r="AK334" s="132">
        <f t="shared" si="107"/>
        <v>0</v>
      </c>
      <c r="AL334" s="176"/>
      <c r="AM334" s="133" t="s">
        <v>886</v>
      </c>
      <c r="AN334" s="246">
        <v>44845</v>
      </c>
      <c r="AO334" s="259"/>
      <c r="AP334" s="96"/>
      <c r="AQ334" s="96"/>
      <c r="AR334" s="96"/>
      <c r="AS334" s="96"/>
    </row>
    <row r="335" s="97" customFormat="1" customHeight="1" spans="1:45">
      <c r="A335" s="115" t="s">
        <v>1236</v>
      </c>
      <c r="B335" s="115" t="s">
        <v>1237</v>
      </c>
      <c r="C335" s="546" t="s">
        <v>1238</v>
      </c>
      <c r="D335" s="193" t="str">
        <f t="shared" si="101"/>
        <v>岳宁静410326200101107521</v>
      </c>
      <c r="E335" s="115">
        <v>13653798125</v>
      </c>
      <c r="F335" s="291"/>
      <c r="G335" s="115">
        <v>11</v>
      </c>
      <c r="H335" s="115">
        <v>3</v>
      </c>
      <c r="I335" s="115">
        <v>12</v>
      </c>
      <c r="J335" s="115">
        <v>1201</v>
      </c>
      <c r="K335" s="115">
        <v>149.28</v>
      </c>
      <c r="L335" s="115">
        <v>17900</v>
      </c>
      <c r="M335" s="181"/>
      <c r="N335" s="181"/>
      <c r="O335" s="431">
        <v>9000</v>
      </c>
      <c r="P335" s="115">
        <v>1343520</v>
      </c>
      <c r="Q335" s="115" t="s">
        <v>56</v>
      </c>
      <c r="R335" s="115">
        <v>1343520</v>
      </c>
      <c r="S335" s="115"/>
      <c r="T335" s="115" t="s">
        <v>47</v>
      </c>
      <c r="U335" s="115"/>
      <c r="V335" s="133"/>
      <c r="W335" s="133">
        <v>9703</v>
      </c>
      <c r="X335" s="133">
        <v>80</v>
      </c>
      <c r="Z335" s="115" t="s">
        <v>48</v>
      </c>
      <c r="AA335" s="133"/>
      <c r="AB335" s="115"/>
      <c r="AC335" s="115"/>
      <c r="AD335" s="115"/>
      <c r="AE335" s="115"/>
      <c r="AF335" s="291"/>
      <c r="AG335" s="246">
        <v>43974</v>
      </c>
      <c r="AH335" s="133"/>
      <c r="AI335" s="132">
        <f t="shared" si="105"/>
        <v>1353303</v>
      </c>
      <c r="AJ335" s="132">
        <f t="shared" si="106"/>
        <v>1353303</v>
      </c>
      <c r="AK335" s="132">
        <f t="shared" si="107"/>
        <v>0</v>
      </c>
      <c r="AL335" s="176"/>
      <c r="AM335" s="133" t="s">
        <v>886</v>
      </c>
      <c r="AN335" s="246">
        <v>44845</v>
      </c>
      <c r="AO335" s="259"/>
      <c r="AP335" s="96"/>
      <c r="AQ335" s="96"/>
      <c r="AR335" s="96"/>
      <c r="AS335" s="96"/>
    </row>
    <row r="336" s="418" customFormat="1" customHeight="1" spans="1:45">
      <c r="A336" s="115" t="s">
        <v>1239</v>
      </c>
      <c r="B336" s="107" t="s">
        <v>1240</v>
      </c>
      <c r="C336" s="166" t="s">
        <v>1241</v>
      </c>
      <c r="D336" s="193" t="str">
        <f t="shared" si="101"/>
        <v>王泽覃411424198806298413</v>
      </c>
      <c r="E336" s="166" t="s">
        <v>1242</v>
      </c>
      <c r="F336" s="156"/>
      <c r="G336" s="115">
        <v>3</v>
      </c>
      <c r="H336" s="115">
        <v>5</v>
      </c>
      <c r="I336" s="115"/>
      <c r="J336" s="115">
        <v>533</v>
      </c>
      <c r="K336" s="115">
        <v>55.06</v>
      </c>
      <c r="L336" s="115">
        <v>20000</v>
      </c>
      <c r="M336" s="115"/>
      <c r="N336" s="115"/>
      <c r="O336" s="431">
        <v>9639.99</v>
      </c>
      <c r="P336" s="445">
        <v>530778</v>
      </c>
      <c r="Q336" s="445" t="s">
        <v>66</v>
      </c>
      <c r="R336" s="449">
        <v>270778</v>
      </c>
      <c r="S336" s="449"/>
      <c r="T336" s="293">
        <v>260000</v>
      </c>
      <c r="U336" s="293"/>
      <c r="V336" s="239"/>
      <c r="W336" s="293">
        <v>3578</v>
      </c>
      <c r="X336" s="293">
        <v>550</v>
      </c>
      <c r="Y336" s="450"/>
      <c r="Z336" s="115" t="s">
        <v>48</v>
      </c>
      <c r="AA336" s="246"/>
      <c r="AB336" s="115"/>
      <c r="AC336" s="115"/>
      <c r="AD336" s="115"/>
      <c r="AE336" s="181"/>
      <c r="AF336" s="181"/>
      <c r="AG336" s="246">
        <v>43357</v>
      </c>
      <c r="AH336" s="134">
        <f>AI336</f>
        <v>274906</v>
      </c>
      <c r="AI336" s="132">
        <f t="shared" si="105"/>
        <v>274906</v>
      </c>
      <c r="AJ336" s="132">
        <f t="shared" si="106"/>
        <v>274906</v>
      </c>
      <c r="AK336" s="132">
        <f t="shared" si="107"/>
        <v>0</v>
      </c>
      <c r="AL336" s="176"/>
      <c r="AM336" s="115" t="s">
        <v>974</v>
      </c>
      <c r="AN336" s="246">
        <v>44845</v>
      </c>
      <c r="AO336" s="259"/>
      <c r="AP336" s="94"/>
      <c r="AQ336" s="94"/>
      <c r="AR336" s="94"/>
      <c r="AS336" s="94"/>
    </row>
    <row r="337" s="418" customFormat="1" customHeight="1" spans="1:45">
      <c r="A337" s="115" t="s">
        <v>1243</v>
      </c>
      <c r="B337" s="115" t="s">
        <v>1244</v>
      </c>
      <c r="C337" s="193" t="s">
        <v>1245</v>
      </c>
      <c r="D337" s="193" t="str">
        <f t="shared" si="101"/>
        <v>张爱华412724197101120028</v>
      </c>
      <c r="E337" s="115">
        <v>13663002518</v>
      </c>
      <c r="F337" s="291"/>
      <c r="G337" s="115">
        <v>9</v>
      </c>
      <c r="H337" s="115">
        <v>3</v>
      </c>
      <c r="I337" s="115">
        <v>28</v>
      </c>
      <c r="J337" s="115">
        <v>2804</v>
      </c>
      <c r="K337" s="115">
        <v>94.65</v>
      </c>
      <c r="L337" s="115">
        <v>8814</v>
      </c>
      <c r="M337" s="181"/>
      <c r="N337" s="181"/>
      <c r="O337" s="431">
        <v>8713.61</v>
      </c>
      <c r="P337" s="115">
        <v>824743</v>
      </c>
      <c r="Q337" s="115" t="s">
        <v>56</v>
      </c>
      <c r="R337" s="115">
        <v>824743</v>
      </c>
      <c r="S337" s="115"/>
      <c r="T337" s="115" t="s">
        <v>47</v>
      </c>
      <c r="U337" s="115"/>
      <c r="V337" s="133"/>
      <c r="W337" s="133">
        <v>6152</v>
      </c>
      <c r="X337" s="133">
        <v>80</v>
      </c>
      <c r="Y337" s="97"/>
      <c r="Z337" s="115" t="s">
        <v>48</v>
      </c>
      <c r="AA337" s="133"/>
      <c r="AB337" s="115"/>
      <c r="AC337" s="115"/>
      <c r="AD337" s="115"/>
      <c r="AE337" s="115"/>
      <c r="AF337" s="291"/>
      <c r="AG337" s="246">
        <v>44011</v>
      </c>
      <c r="AH337" s="133">
        <f>264846+830975</f>
        <v>1095821</v>
      </c>
      <c r="AI337" s="132">
        <f t="shared" si="105"/>
        <v>830975</v>
      </c>
      <c r="AJ337" s="132">
        <f t="shared" si="106"/>
        <v>830975</v>
      </c>
      <c r="AK337" s="132">
        <f t="shared" si="107"/>
        <v>0</v>
      </c>
      <c r="AL337" s="176" t="s">
        <v>1246</v>
      </c>
      <c r="AM337" s="133" t="s">
        <v>886</v>
      </c>
      <c r="AN337" s="246">
        <v>44845</v>
      </c>
      <c r="AO337" s="259"/>
      <c r="AP337" s="94"/>
      <c r="AQ337" s="94"/>
      <c r="AR337" s="94"/>
      <c r="AS337" s="94"/>
    </row>
    <row r="338" s="97" customFormat="1" customHeight="1" spans="1:45">
      <c r="A338" s="115" t="s">
        <v>1247</v>
      </c>
      <c r="B338" s="115" t="s">
        <v>1248</v>
      </c>
      <c r="C338" s="193" t="s">
        <v>1249</v>
      </c>
      <c r="D338" s="193" t="str">
        <f t="shared" si="101"/>
        <v>苗海峰410603198204261531</v>
      </c>
      <c r="E338" s="115">
        <v>18739221555</v>
      </c>
      <c r="F338" s="291"/>
      <c r="G338" s="115">
        <v>3</v>
      </c>
      <c r="H338" s="115">
        <v>9</v>
      </c>
      <c r="I338" s="115"/>
      <c r="J338" s="115">
        <v>923</v>
      </c>
      <c r="K338" s="115">
        <v>59.07</v>
      </c>
      <c r="L338" s="115">
        <v>20000</v>
      </c>
      <c r="M338" s="181"/>
      <c r="N338" s="181"/>
      <c r="O338" s="431">
        <v>15280.77</v>
      </c>
      <c r="P338" s="115">
        <v>902635</v>
      </c>
      <c r="Q338" s="115" t="s">
        <v>66</v>
      </c>
      <c r="R338" s="115">
        <v>452635</v>
      </c>
      <c r="S338" s="115"/>
      <c r="T338" s="115">
        <v>450000</v>
      </c>
      <c r="U338" s="115"/>
      <c r="V338" s="133"/>
      <c r="W338" s="133">
        <v>3839</v>
      </c>
      <c r="X338" s="133">
        <v>550</v>
      </c>
      <c r="Z338" s="115"/>
      <c r="AA338" s="133"/>
      <c r="AB338" s="115"/>
      <c r="AC338" s="115"/>
      <c r="AD338" s="115"/>
      <c r="AE338" s="115"/>
      <c r="AF338" s="291"/>
      <c r="AG338" s="246">
        <v>43299</v>
      </c>
      <c r="AH338" s="133">
        <f>AJ338</f>
        <v>457024</v>
      </c>
      <c r="AI338" s="132">
        <f t="shared" si="105"/>
        <v>457024</v>
      </c>
      <c r="AJ338" s="132">
        <f t="shared" si="106"/>
        <v>457024</v>
      </c>
      <c r="AK338" s="132">
        <f t="shared" si="107"/>
        <v>0</v>
      </c>
      <c r="AL338" s="176"/>
      <c r="AM338" s="133" t="s">
        <v>886</v>
      </c>
      <c r="AN338" s="246">
        <v>44845</v>
      </c>
      <c r="AO338" s="259"/>
      <c r="AP338" s="96"/>
      <c r="AQ338" s="96"/>
      <c r="AR338" s="96"/>
      <c r="AS338" s="96"/>
    </row>
    <row r="339" s="92" customFormat="1" customHeight="1" spans="1:45">
      <c r="A339" s="106" t="s">
        <v>1250</v>
      </c>
      <c r="B339" s="106" t="s">
        <v>1251</v>
      </c>
      <c r="C339" s="194" t="s">
        <v>1252</v>
      </c>
      <c r="D339" s="193" t="str">
        <f t="shared" si="101"/>
        <v>薛建英410423196808050044</v>
      </c>
      <c r="E339" s="106">
        <v>13783616967</v>
      </c>
      <c r="F339" s="453"/>
      <c r="G339" s="106">
        <v>3</v>
      </c>
      <c r="H339" s="106">
        <v>16</v>
      </c>
      <c r="I339" s="106"/>
      <c r="J339" s="106">
        <v>1625</v>
      </c>
      <c r="K339" s="106">
        <v>66.94</v>
      </c>
      <c r="L339" s="106">
        <v>20000</v>
      </c>
      <c r="M339" s="120"/>
      <c r="N339" s="120"/>
      <c r="O339" s="455">
        <v>13197</v>
      </c>
      <c r="P339" s="106">
        <v>883407</v>
      </c>
      <c r="Q339" s="106" t="s">
        <v>66</v>
      </c>
      <c r="R339" s="106">
        <v>444595</v>
      </c>
      <c r="S339" s="106"/>
      <c r="T339" s="106">
        <v>438812</v>
      </c>
      <c r="U339" s="106"/>
      <c r="V339" s="129"/>
      <c r="W339" s="129"/>
      <c r="X339" s="129"/>
      <c r="Z339" s="106"/>
      <c r="AA339" s="129"/>
      <c r="AB339" s="106"/>
      <c r="AC339" s="106"/>
      <c r="AD339" s="106"/>
      <c r="AE339" s="106"/>
      <c r="AF339" s="453"/>
      <c r="AG339" s="290">
        <v>42775</v>
      </c>
      <c r="AH339" s="129"/>
      <c r="AI339" s="132">
        <f t="shared" si="105"/>
        <v>444595</v>
      </c>
      <c r="AJ339" s="132">
        <f t="shared" si="106"/>
        <v>444595</v>
      </c>
      <c r="AK339" s="132">
        <f t="shared" si="107"/>
        <v>0</v>
      </c>
      <c r="AL339" s="350" t="s">
        <v>1253</v>
      </c>
      <c r="AM339" s="129" t="s">
        <v>886</v>
      </c>
      <c r="AN339" s="290">
        <v>44845</v>
      </c>
      <c r="AO339" s="458"/>
      <c r="AP339" s="93"/>
      <c r="AQ339" s="93"/>
      <c r="AR339" s="93"/>
      <c r="AS339" s="93"/>
    </row>
    <row r="340" s="96" customFormat="1" customHeight="1" spans="1:41">
      <c r="A340" s="115" t="s">
        <v>1254</v>
      </c>
      <c r="B340" s="115" t="s">
        <v>1255</v>
      </c>
      <c r="C340" s="156"/>
      <c r="D340" s="193" t="str">
        <f t="shared" si="101"/>
        <v>孟亚</v>
      </c>
      <c r="E340" s="166" t="s">
        <v>1256</v>
      </c>
      <c r="F340" s="156"/>
      <c r="G340" s="239">
        <v>9</v>
      </c>
      <c r="H340" s="115">
        <v>3</v>
      </c>
      <c r="I340" s="115">
        <v>12</v>
      </c>
      <c r="J340" s="115">
        <v>1202</v>
      </c>
      <c r="K340" s="115">
        <v>99.56</v>
      </c>
      <c r="L340" s="115">
        <v>19570</v>
      </c>
      <c r="M340" s="115"/>
      <c r="N340" s="115"/>
      <c r="O340" s="431">
        <v>19570</v>
      </c>
      <c r="P340" s="239">
        <v>1948389</v>
      </c>
      <c r="Q340" s="445" t="s">
        <v>66</v>
      </c>
      <c r="R340" s="445">
        <v>635456</v>
      </c>
      <c r="S340" s="445"/>
      <c r="T340" s="445">
        <v>1312933.2</v>
      </c>
      <c r="U340" s="445"/>
      <c r="V340" s="115"/>
      <c r="W340" s="115"/>
      <c r="X340" s="115"/>
      <c r="Y340" s="115"/>
      <c r="Z340" s="115"/>
      <c r="AA340" s="246"/>
      <c r="AB340" s="115"/>
      <c r="AC340" s="115"/>
      <c r="AD340" s="115"/>
      <c r="AE340" s="181"/>
      <c r="AF340" s="181"/>
      <c r="AG340" s="246">
        <v>43106</v>
      </c>
      <c r="AH340" s="134"/>
      <c r="AI340" s="132">
        <f t="shared" si="105"/>
        <v>635456</v>
      </c>
      <c r="AJ340" s="132">
        <f t="shared" si="106"/>
        <v>635456</v>
      </c>
      <c r="AK340" s="132">
        <f t="shared" si="107"/>
        <v>0</v>
      </c>
      <c r="AL340" s="176" t="s">
        <v>1257</v>
      </c>
      <c r="AM340" s="115" t="s">
        <v>974</v>
      </c>
      <c r="AN340" s="246">
        <v>44845</v>
      </c>
      <c r="AO340" s="259"/>
    </row>
    <row r="341" s="93" customFormat="1" customHeight="1" spans="1:41">
      <c r="A341" s="106" t="s">
        <v>1258</v>
      </c>
      <c r="B341" s="106" t="s">
        <v>1259</v>
      </c>
      <c r="C341" s="194" t="s">
        <v>1260</v>
      </c>
      <c r="D341" s="193" t="str">
        <f t="shared" si="101"/>
        <v>魏炎炎413001197106120025</v>
      </c>
      <c r="E341" s="106">
        <v>13271597788</v>
      </c>
      <c r="F341" s="453"/>
      <c r="G341" s="106">
        <v>3</v>
      </c>
      <c r="H341" s="106">
        <v>16</v>
      </c>
      <c r="I341" s="106"/>
      <c r="J341" s="106">
        <v>1629</v>
      </c>
      <c r="K341" s="106">
        <v>57.45</v>
      </c>
      <c r="L341" s="106">
        <v>20000</v>
      </c>
      <c r="M341" s="120"/>
      <c r="N341" s="120"/>
      <c r="O341" s="455">
        <v>13977</v>
      </c>
      <c r="P341" s="106">
        <v>802979</v>
      </c>
      <c r="Q341" s="106" t="s">
        <v>66</v>
      </c>
      <c r="R341" s="106">
        <v>403817</v>
      </c>
      <c r="S341" s="106"/>
      <c r="T341" s="106">
        <v>399162</v>
      </c>
      <c r="U341" s="106"/>
      <c r="V341" s="129"/>
      <c r="W341" s="129"/>
      <c r="X341" s="129"/>
      <c r="Y341" s="106"/>
      <c r="Z341" s="106"/>
      <c r="AA341" s="129"/>
      <c r="AB341" s="106"/>
      <c r="AC341" s="106"/>
      <c r="AD341" s="106"/>
      <c r="AE341" s="106"/>
      <c r="AF341" s="453"/>
      <c r="AG341" s="290">
        <v>42775</v>
      </c>
      <c r="AH341" s="129"/>
      <c r="AI341" s="132">
        <f t="shared" si="105"/>
        <v>403817</v>
      </c>
      <c r="AJ341" s="132">
        <f t="shared" si="106"/>
        <v>403817</v>
      </c>
      <c r="AK341" s="132">
        <f t="shared" si="107"/>
        <v>0</v>
      </c>
      <c r="AL341" s="350" t="s">
        <v>1253</v>
      </c>
      <c r="AM341" s="129" t="s">
        <v>886</v>
      </c>
      <c r="AN341" s="290">
        <v>44845</v>
      </c>
      <c r="AO341" s="458"/>
    </row>
    <row r="342" s="96" customFormat="1" customHeight="1" spans="1:41">
      <c r="A342" s="115" t="s">
        <v>1261</v>
      </c>
      <c r="B342" s="107" t="s">
        <v>1262</v>
      </c>
      <c r="C342" s="166" t="s">
        <v>1263</v>
      </c>
      <c r="D342" s="193" t="str">
        <f t="shared" si="101"/>
        <v>李留民410402196709243543</v>
      </c>
      <c r="E342" s="166" t="s">
        <v>1264</v>
      </c>
      <c r="F342" s="156"/>
      <c r="G342" s="115">
        <v>3</v>
      </c>
      <c r="H342" s="115">
        <v>14</v>
      </c>
      <c r="I342" s="115"/>
      <c r="J342" s="115">
        <v>1435</v>
      </c>
      <c r="K342" s="115">
        <v>55.18</v>
      </c>
      <c r="L342" s="115">
        <v>20000</v>
      </c>
      <c r="M342" s="115"/>
      <c r="N342" s="115"/>
      <c r="O342" s="431">
        <v>14679.25</v>
      </c>
      <c r="P342" s="445">
        <v>810001</v>
      </c>
      <c r="Q342" s="445" t="s">
        <v>66</v>
      </c>
      <c r="R342" s="448">
        <v>410001</v>
      </c>
      <c r="S342" s="448"/>
      <c r="T342" s="293">
        <v>400000</v>
      </c>
      <c r="U342" s="293"/>
      <c r="V342" s="293"/>
      <c r="W342" s="293">
        <v>3586</v>
      </c>
      <c r="X342" s="293">
        <v>550</v>
      </c>
      <c r="Y342" s="293"/>
      <c r="Z342" s="115"/>
      <c r="AA342" s="246"/>
      <c r="AB342" s="115"/>
      <c r="AC342" s="115"/>
      <c r="AD342" s="115"/>
      <c r="AE342" s="181"/>
      <c r="AF342" s="181"/>
      <c r="AG342" s="246">
        <v>43287</v>
      </c>
      <c r="AH342" s="181"/>
      <c r="AI342" s="132">
        <f t="shared" si="105"/>
        <v>414137</v>
      </c>
      <c r="AJ342" s="132">
        <f t="shared" si="106"/>
        <v>414137</v>
      </c>
      <c r="AK342" s="132">
        <f t="shared" si="107"/>
        <v>0</v>
      </c>
      <c r="AL342" s="181"/>
      <c r="AM342" s="115" t="s">
        <v>974</v>
      </c>
      <c r="AN342" s="246">
        <v>44845</v>
      </c>
      <c r="AO342" s="259"/>
    </row>
    <row r="343" s="96" customFormat="1" customHeight="1" spans="1:41">
      <c r="A343" s="106" t="s">
        <v>1265</v>
      </c>
      <c r="B343" s="107" t="s">
        <v>1266</v>
      </c>
      <c r="C343" s="444" t="s">
        <v>1267</v>
      </c>
      <c r="D343" s="193" t="str">
        <f t="shared" si="101"/>
        <v>孙静梅41138119790422794X</v>
      </c>
      <c r="E343" s="107">
        <v>15803800813</v>
      </c>
      <c r="F343" s="106"/>
      <c r="G343" s="106">
        <v>3</v>
      </c>
      <c r="H343" s="106">
        <v>15</v>
      </c>
      <c r="I343" s="106"/>
      <c r="J343" s="106">
        <v>1535</v>
      </c>
      <c r="K343" s="106">
        <v>55.18</v>
      </c>
      <c r="L343" s="106">
        <v>20000</v>
      </c>
      <c r="M343" s="106"/>
      <c r="N343" s="106"/>
      <c r="O343" s="455">
        <v>11721.35</v>
      </c>
      <c r="P343" s="110">
        <v>646784</v>
      </c>
      <c r="Q343" s="110" t="s">
        <v>66</v>
      </c>
      <c r="R343" s="456">
        <v>326784</v>
      </c>
      <c r="S343" s="456"/>
      <c r="T343" s="457">
        <v>320000</v>
      </c>
      <c r="U343" s="457"/>
      <c r="V343" s="457"/>
      <c r="W343" s="457">
        <v>3586</v>
      </c>
      <c r="X343" s="457">
        <v>550</v>
      </c>
      <c r="Y343" s="457"/>
      <c r="Z343" s="106"/>
      <c r="AA343" s="290"/>
      <c r="AB343" s="106"/>
      <c r="AC343" s="106"/>
      <c r="AD343" s="106"/>
      <c r="AE343" s="181"/>
      <c r="AF343" s="181"/>
      <c r="AG343" s="246">
        <v>43075</v>
      </c>
      <c r="AH343" s="181"/>
      <c r="AI343" s="132">
        <f t="shared" ref="AI343:AI351" si="108">R343+V343+W343+X343+AA343+AB343+AC343+AD343</f>
        <v>330920</v>
      </c>
      <c r="AJ343" s="132">
        <f t="shared" ref="AJ343:AJ351" si="109">R343+W343+V343+X343+AA343</f>
        <v>330920</v>
      </c>
      <c r="AK343" s="132">
        <f t="shared" ref="AK343:AK351" si="110">AI343-AJ343</f>
        <v>0</v>
      </c>
      <c r="AL343" s="176" t="s">
        <v>1268</v>
      </c>
      <c r="AM343" s="115" t="s">
        <v>974</v>
      </c>
      <c r="AN343" s="246">
        <v>44845</v>
      </c>
      <c r="AO343" s="259"/>
    </row>
    <row r="344" s="96" customFormat="1" customHeight="1" spans="1:41">
      <c r="A344" s="106" t="s">
        <v>1269</v>
      </c>
      <c r="B344" s="115" t="s">
        <v>1270</v>
      </c>
      <c r="C344" s="193" t="s">
        <v>1271</v>
      </c>
      <c r="D344" s="193" t="str">
        <f t="shared" si="101"/>
        <v>杨莹410103197604152420</v>
      </c>
      <c r="E344" s="115">
        <v>18337127501</v>
      </c>
      <c r="F344" s="291"/>
      <c r="G344" s="115">
        <v>3</v>
      </c>
      <c r="H344" s="115">
        <v>13</v>
      </c>
      <c r="I344" s="115"/>
      <c r="J344" s="115">
        <v>1333</v>
      </c>
      <c r="K344" s="115">
        <v>55.05</v>
      </c>
      <c r="L344" s="115">
        <v>20000</v>
      </c>
      <c r="M344" s="181"/>
      <c r="N344" s="181"/>
      <c r="O344" s="431">
        <v>9740.8</v>
      </c>
      <c r="P344" s="115">
        <v>536231</v>
      </c>
      <c r="Q344" s="115" t="s">
        <v>56</v>
      </c>
      <c r="R344" s="115">
        <v>536231</v>
      </c>
      <c r="S344" s="115"/>
      <c r="T344" s="115" t="s">
        <v>47</v>
      </c>
      <c r="U344" s="115"/>
      <c r="V344" s="133"/>
      <c r="W344" s="133">
        <v>3578</v>
      </c>
      <c r="X344" s="133">
        <v>550</v>
      </c>
      <c r="Y344" s="115"/>
      <c r="Z344" s="115" t="s">
        <v>48</v>
      </c>
      <c r="AA344" s="133"/>
      <c r="AB344" s="115"/>
      <c r="AC344" s="115"/>
      <c r="AD344" s="115"/>
      <c r="AE344" s="115"/>
      <c r="AF344" s="291"/>
      <c r="AG344" s="246">
        <v>43092</v>
      </c>
      <c r="AH344" s="133">
        <f>AJ344</f>
        <v>540359</v>
      </c>
      <c r="AI344" s="132">
        <f t="shared" si="108"/>
        <v>540359</v>
      </c>
      <c r="AJ344" s="132">
        <f t="shared" si="109"/>
        <v>540359</v>
      </c>
      <c r="AK344" s="132">
        <f t="shared" si="110"/>
        <v>0</v>
      </c>
      <c r="AL344" s="176"/>
      <c r="AM344" s="133" t="s">
        <v>886</v>
      </c>
      <c r="AN344" s="246">
        <v>44845</v>
      </c>
      <c r="AO344" s="259"/>
    </row>
    <row r="345" s="96" customFormat="1" customHeight="1" spans="1:41">
      <c r="A345" s="106" t="s">
        <v>1272</v>
      </c>
      <c r="B345" s="115" t="s">
        <v>1273</v>
      </c>
      <c r="C345" s="193" t="s">
        <v>1274</v>
      </c>
      <c r="D345" s="193" t="str">
        <f t="shared" si="101"/>
        <v>刘通410502199107100018</v>
      </c>
      <c r="E345" s="115">
        <v>18503729962</v>
      </c>
      <c r="F345" s="291"/>
      <c r="G345" s="115">
        <v>9</v>
      </c>
      <c r="H345" s="115">
        <v>3</v>
      </c>
      <c r="I345" s="115">
        <v>21</v>
      </c>
      <c r="J345" s="115">
        <v>2104</v>
      </c>
      <c r="K345" s="115">
        <v>94.65</v>
      </c>
      <c r="L345" s="115">
        <v>9100</v>
      </c>
      <c r="M345" s="181"/>
      <c r="N345" s="181"/>
      <c r="O345" s="431">
        <v>9000</v>
      </c>
      <c r="P345" s="115">
        <v>851850</v>
      </c>
      <c r="Q345" s="115" t="s">
        <v>56</v>
      </c>
      <c r="R345" s="115">
        <v>897368</v>
      </c>
      <c r="S345" s="115">
        <v>-45518</v>
      </c>
      <c r="T345" s="115" t="s">
        <v>47</v>
      </c>
      <c r="U345" s="115"/>
      <c r="V345" s="133"/>
      <c r="W345" s="133">
        <v>6152</v>
      </c>
      <c r="X345" s="133">
        <v>80</v>
      </c>
      <c r="Y345" s="115"/>
      <c r="Z345" s="115" t="s">
        <v>48</v>
      </c>
      <c r="AA345" s="133"/>
      <c r="AB345" s="115"/>
      <c r="AC345" s="115"/>
      <c r="AD345" s="115"/>
      <c r="AE345" s="115"/>
      <c r="AF345" s="291"/>
      <c r="AG345" s="246">
        <v>43975</v>
      </c>
      <c r="AH345" s="133"/>
      <c r="AI345" s="132">
        <f t="shared" si="108"/>
        <v>903600</v>
      </c>
      <c r="AJ345" s="132">
        <f t="shared" si="109"/>
        <v>903600</v>
      </c>
      <c r="AK345" s="132">
        <f t="shared" si="110"/>
        <v>0</v>
      </c>
      <c r="AL345" s="176"/>
      <c r="AM345" s="133"/>
      <c r="AN345" s="246">
        <v>44845</v>
      </c>
      <c r="AO345" s="259"/>
    </row>
    <row r="346" s="96" customFormat="1" customHeight="1" spans="1:41">
      <c r="A346" s="106" t="s">
        <v>1275</v>
      </c>
      <c r="B346" s="115" t="s">
        <v>1276</v>
      </c>
      <c r="C346" s="193" t="s">
        <v>1277</v>
      </c>
      <c r="D346" s="193" t="str">
        <f t="shared" si="101"/>
        <v>要雅倩410426197907150108</v>
      </c>
      <c r="E346" s="115" t="s">
        <v>1278</v>
      </c>
      <c r="F346" s="291"/>
      <c r="G346" s="115">
        <v>3</v>
      </c>
      <c r="H346" s="115">
        <v>8</v>
      </c>
      <c r="I346" s="115"/>
      <c r="J346" s="115">
        <v>831</v>
      </c>
      <c r="K346" s="115">
        <v>56.44</v>
      </c>
      <c r="L346" s="115">
        <v>20000</v>
      </c>
      <c r="M346" s="181"/>
      <c r="N346" s="181"/>
      <c r="O346" s="431">
        <v>8567.1777360255</v>
      </c>
      <c r="P346" s="115">
        <v>483532</v>
      </c>
      <c r="Q346" s="115" t="s">
        <v>56</v>
      </c>
      <c r="R346" s="115">
        <v>483532</v>
      </c>
      <c r="S346" s="115"/>
      <c r="T346" s="115" t="s">
        <v>47</v>
      </c>
      <c r="U346" s="115"/>
      <c r="V346" s="133"/>
      <c r="W346" s="133">
        <v>3668</v>
      </c>
      <c r="X346" s="133">
        <v>550</v>
      </c>
      <c r="Y346" s="115"/>
      <c r="Z346" s="115" t="s">
        <v>48</v>
      </c>
      <c r="AA346" s="133"/>
      <c r="AB346" s="115"/>
      <c r="AC346" s="115"/>
      <c r="AD346" s="115"/>
      <c r="AE346" s="115"/>
      <c r="AF346" s="291"/>
      <c r="AG346" s="246">
        <v>43846</v>
      </c>
      <c r="AH346" s="133">
        <f>W346+X346</f>
        <v>4218</v>
      </c>
      <c r="AI346" s="132">
        <f t="shared" si="108"/>
        <v>487750</v>
      </c>
      <c r="AJ346" s="132">
        <f t="shared" si="109"/>
        <v>487750</v>
      </c>
      <c r="AK346" s="132">
        <f t="shared" si="110"/>
        <v>0</v>
      </c>
      <c r="AL346" s="176"/>
      <c r="AM346" s="133" t="s">
        <v>974</v>
      </c>
      <c r="AN346" s="246">
        <v>44845</v>
      </c>
      <c r="AO346" s="259"/>
    </row>
    <row r="347" s="96" customFormat="1" customHeight="1" spans="1:41">
      <c r="A347" s="106" t="s">
        <v>1279</v>
      </c>
      <c r="B347" s="115" t="s">
        <v>1280</v>
      </c>
      <c r="C347" s="193" t="s">
        <v>1281</v>
      </c>
      <c r="D347" s="193" t="str">
        <f t="shared" si="101"/>
        <v>李敏41012119741220054X</v>
      </c>
      <c r="E347" s="115">
        <v>13837139444</v>
      </c>
      <c r="F347" s="291"/>
      <c r="G347" s="115">
        <v>3</v>
      </c>
      <c r="H347" s="115">
        <v>12</v>
      </c>
      <c r="I347" s="115"/>
      <c r="J347" s="115">
        <v>1217</v>
      </c>
      <c r="K347" s="115">
        <v>68.25</v>
      </c>
      <c r="L347" s="115">
        <v>20000</v>
      </c>
      <c r="M347" s="181"/>
      <c r="N347" s="181"/>
      <c r="O347" s="431">
        <v>8928.89</v>
      </c>
      <c r="P347" s="115">
        <v>609397</v>
      </c>
      <c r="Q347" s="115" t="s">
        <v>66</v>
      </c>
      <c r="R347" s="115">
        <v>309397</v>
      </c>
      <c r="S347" s="115"/>
      <c r="T347" s="115" t="s">
        <v>47</v>
      </c>
      <c r="U347" s="115"/>
      <c r="V347" s="133">
        <v>300000</v>
      </c>
      <c r="W347" s="133">
        <v>4436</v>
      </c>
      <c r="X347" s="133">
        <v>550</v>
      </c>
      <c r="Y347" s="115"/>
      <c r="Z347" s="115" t="s">
        <v>48</v>
      </c>
      <c r="AA347" s="133"/>
      <c r="AB347" s="115"/>
      <c r="AC347" s="115"/>
      <c r="AD347" s="115"/>
      <c r="AE347" s="115"/>
      <c r="AF347" s="291"/>
      <c r="AG347" s="246">
        <v>43315</v>
      </c>
      <c r="AH347" s="133">
        <f>W347+X347</f>
        <v>4986</v>
      </c>
      <c r="AI347" s="132">
        <f t="shared" si="108"/>
        <v>614383</v>
      </c>
      <c r="AJ347" s="132">
        <f t="shared" si="109"/>
        <v>614383</v>
      </c>
      <c r="AK347" s="132">
        <f t="shared" si="110"/>
        <v>0</v>
      </c>
      <c r="AL347" s="176"/>
      <c r="AM347" s="133" t="s">
        <v>974</v>
      </c>
      <c r="AN347" s="246">
        <v>44845</v>
      </c>
      <c r="AO347" s="259"/>
    </row>
    <row r="348" s="96" customFormat="1" customHeight="1" spans="1:41">
      <c r="A348" s="106" t="s">
        <v>1282</v>
      </c>
      <c r="B348" s="115" t="s">
        <v>1283</v>
      </c>
      <c r="C348" s="193" t="s">
        <v>1284</v>
      </c>
      <c r="D348" s="193" t="str">
        <f t="shared" si="101"/>
        <v>马守锋、时姝洁41232119780416391241272719790201008X</v>
      </c>
      <c r="E348" s="115" t="s">
        <v>1285</v>
      </c>
      <c r="F348" s="291"/>
      <c r="G348" s="115">
        <v>9</v>
      </c>
      <c r="H348" s="115">
        <v>3</v>
      </c>
      <c r="I348" s="115">
        <v>33</v>
      </c>
      <c r="J348" s="115">
        <v>3303</v>
      </c>
      <c r="K348" s="115">
        <v>99.56</v>
      </c>
      <c r="L348" s="115">
        <v>17900</v>
      </c>
      <c r="M348" s="181"/>
      <c r="N348" s="181"/>
      <c r="O348" s="431">
        <v>14700</v>
      </c>
      <c r="P348" s="115">
        <v>1463532</v>
      </c>
      <c r="Q348" s="115" t="s">
        <v>66</v>
      </c>
      <c r="R348" s="115">
        <v>767330</v>
      </c>
      <c r="S348" s="115"/>
      <c r="T348" s="115">
        <v>696202</v>
      </c>
      <c r="U348" s="115"/>
      <c r="V348" s="133"/>
      <c r="W348" s="133"/>
      <c r="X348" s="133"/>
      <c r="Y348" s="115"/>
      <c r="Z348" s="115"/>
      <c r="AA348" s="133"/>
      <c r="AB348" s="115"/>
      <c r="AC348" s="115"/>
      <c r="AD348" s="115"/>
      <c r="AE348" s="115"/>
      <c r="AF348" s="291"/>
      <c r="AG348" s="246">
        <v>42892</v>
      </c>
      <c r="AH348" s="133"/>
      <c r="AI348" s="132">
        <f t="shared" si="108"/>
        <v>767330</v>
      </c>
      <c r="AJ348" s="132">
        <f t="shared" si="109"/>
        <v>767330</v>
      </c>
      <c r="AK348" s="132">
        <f t="shared" si="110"/>
        <v>0</v>
      </c>
      <c r="AL348" s="176"/>
      <c r="AM348" s="133" t="s">
        <v>974</v>
      </c>
      <c r="AN348" s="246">
        <v>44845</v>
      </c>
      <c r="AO348" s="259"/>
    </row>
    <row r="349" s="96" customFormat="1" customHeight="1" spans="1:41">
      <c r="A349" s="106" t="s">
        <v>1286</v>
      </c>
      <c r="B349" s="115" t="s">
        <v>1287</v>
      </c>
      <c r="C349" s="193" t="s">
        <v>1288</v>
      </c>
      <c r="D349" s="193" t="str">
        <f t="shared" si="101"/>
        <v>张曦元410503199012275006</v>
      </c>
      <c r="E349" s="115" t="s">
        <v>1289</v>
      </c>
      <c r="F349" s="291"/>
      <c r="G349" s="115">
        <v>6</v>
      </c>
      <c r="H349" s="115">
        <v>1</v>
      </c>
      <c r="I349" s="115">
        <v>14</v>
      </c>
      <c r="J349" s="115">
        <v>1406</v>
      </c>
      <c r="K349" s="115">
        <v>86.33</v>
      </c>
      <c r="L349" s="115">
        <v>19480</v>
      </c>
      <c r="M349" s="181"/>
      <c r="N349" s="181"/>
      <c r="O349" s="431">
        <v>16000</v>
      </c>
      <c r="P349" s="115">
        <v>1381280</v>
      </c>
      <c r="Q349" s="115" t="s">
        <v>66</v>
      </c>
      <c r="R349" s="115">
        <v>721280</v>
      </c>
      <c r="S349" s="115"/>
      <c r="T349" s="115" t="s">
        <v>47</v>
      </c>
      <c r="U349" s="115"/>
      <c r="V349" s="133">
        <v>660000</v>
      </c>
      <c r="W349" s="133">
        <v>5611</v>
      </c>
      <c r="X349" s="133">
        <v>80</v>
      </c>
      <c r="Y349" s="115"/>
      <c r="Z349" s="115" t="s">
        <v>48</v>
      </c>
      <c r="AA349" s="133"/>
      <c r="AB349" s="115">
        <v>1366.7</v>
      </c>
      <c r="AC349" s="115"/>
      <c r="AD349" s="115"/>
      <c r="AE349" s="115"/>
      <c r="AF349" s="291"/>
      <c r="AG349" s="246">
        <v>44043</v>
      </c>
      <c r="AH349" s="133"/>
      <c r="AI349" s="132">
        <f t="shared" si="108"/>
        <v>1388337.7</v>
      </c>
      <c r="AJ349" s="132">
        <f t="shared" si="109"/>
        <v>1386971</v>
      </c>
      <c r="AK349" s="132">
        <f t="shared" si="110"/>
        <v>1366.69999999995</v>
      </c>
      <c r="AL349" s="176"/>
      <c r="AM349" s="133" t="s">
        <v>974</v>
      </c>
      <c r="AN349" s="246">
        <v>44845</v>
      </c>
      <c r="AO349" s="259"/>
    </row>
    <row r="350" s="96" customFormat="1" customHeight="1" spans="1:41">
      <c r="A350" s="106" t="s">
        <v>1290</v>
      </c>
      <c r="B350" s="115" t="s">
        <v>1291</v>
      </c>
      <c r="C350" s="193" t="s">
        <v>1292</v>
      </c>
      <c r="D350" s="193" t="str">
        <f t="shared" si="101"/>
        <v>徐俊娥412325197603195120</v>
      </c>
      <c r="E350" s="115">
        <v>15938795309</v>
      </c>
      <c r="F350" s="291"/>
      <c r="G350" s="115">
        <v>3</v>
      </c>
      <c r="H350" s="115">
        <v>7</v>
      </c>
      <c r="I350" s="115"/>
      <c r="J350" s="115">
        <v>702</v>
      </c>
      <c r="K350" s="115">
        <v>47.59</v>
      </c>
      <c r="L350" s="115">
        <v>20000</v>
      </c>
      <c r="M350" s="181"/>
      <c r="N350" s="181"/>
      <c r="O350" s="431">
        <v>9987.22</v>
      </c>
      <c r="P350" s="115">
        <v>475292</v>
      </c>
      <c r="Q350" s="115" t="s">
        <v>66</v>
      </c>
      <c r="R350" s="115">
        <v>245292</v>
      </c>
      <c r="S350" s="115"/>
      <c r="T350" s="115" t="s">
        <v>47</v>
      </c>
      <c r="U350" s="115"/>
      <c r="V350" s="133">
        <v>230000</v>
      </c>
      <c r="W350" s="133">
        <v>3093</v>
      </c>
      <c r="X350" s="133">
        <v>550</v>
      </c>
      <c r="Y350" s="115"/>
      <c r="Z350" s="115" t="s">
        <v>48</v>
      </c>
      <c r="AA350" s="133"/>
      <c r="AB350" s="115">
        <v>230</v>
      </c>
      <c r="AC350" s="115"/>
      <c r="AD350" s="115"/>
      <c r="AE350" s="115"/>
      <c r="AF350" s="291"/>
      <c r="AG350" s="246">
        <v>43166</v>
      </c>
      <c r="AH350" s="133"/>
      <c r="AI350" s="132">
        <f t="shared" si="108"/>
        <v>479165</v>
      </c>
      <c r="AJ350" s="132">
        <f t="shared" si="109"/>
        <v>478935</v>
      </c>
      <c r="AK350" s="132">
        <f t="shared" si="110"/>
        <v>230</v>
      </c>
      <c r="AL350" s="176"/>
      <c r="AM350" s="133" t="s">
        <v>974</v>
      </c>
      <c r="AN350" s="246">
        <v>44845</v>
      </c>
      <c r="AO350" s="259"/>
    </row>
    <row r="351" s="96" customFormat="1" customHeight="1" spans="1:41">
      <c r="A351" s="106" t="s">
        <v>1293</v>
      </c>
      <c r="B351" s="115" t="s">
        <v>1294</v>
      </c>
      <c r="C351" s="193" t="s">
        <v>1295</v>
      </c>
      <c r="D351" s="193" t="str">
        <f t="shared" si="101"/>
        <v>张洁410181198605104061</v>
      </c>
      <c r="E351" s="115">
        <v>18503810009</v>
      </c>
      <c r="F351" s="291"/>
      <c r="G351" s="115">
        <v>3</v>
      </c>
      <c r="H351" s="115">
        <v>14</v>
      </c>
      <c r="I351" s="115"/>
      <c r="J351" s="115">
        <v>1412</v>
      </c>
      <c r="K351" s="115">
        <v>65.94</v>
      </c>
      <c r="L351" s="115">
        <v>20000</v>
      </c>
      <c r="M351" s="181"/>
      <c r="N351" s="181"/>
      <c r="O351" s="431">
        <v>9225.66</v>
      </c>
      <c r="P351" s="115">
        <v>608340</v>
      </c>
      <c r="Q351" s="115" t="s">
        <v>66</v>
      </c>
      <c r="R351" s="115">
        <v>308340</v>
      </c>
      <c r="S351" s="115"/>
      <c r="T351" s="115" t="s">
        <v>47</v>
      </c>
      <c r="U351" s="115"/>
      <c r="V351" s="133">
        <v>300000</v>
      </c>
      <c r="W351" s="133">
        <v>4286</v>
      </c>
      <c r="X351" s="133">
        <v>550</v>
      </c>
      <c r="Y351" s="115"/>
      <c r="Z351" s="115" t="s">
        <v>48</v>
      </c>
      <c r="AA351" s="133"/>
      <c r="AB351" s="115"/>
      <c r="AC351" s="115"/>
      <c r="AD351" s="115"/>
      <c r="AE351" s="115"/>
      <c r="AF351" s="291"/>
      <c r="AG351" s="246">
        <v>43092</v>
      </c>
      <c r="AH351" s="133">
        <f>AJ351</f>
        <v>613176</v>
      </c>
      <c r="AI351" s="132">
        <f t="shared" si="108"/>
        <v>613176</v>
      </c>
      <c r="AJ351" s="132">
        <f t="shared" si="109"/>
        <v>613176</v>
      </c>
      <c r="AK351" s="132">
        <f t="shared" si="110"/>
        <v>0</v>
      </c>
      <c r="AL351" s="176"/>
      <c r="AM351" s="133" t="s">
        <v>886</v>
      </c>
      <c r="AN351" s="246">
        <v>44846</v>
      </c>
      <c r="AO351" s="259"/>
    </row>
    <row r="352" s="96" customFormat="1" customHeight="1" spans="1:41">
      <c r="A352" s="106" t="s">
        <v>1296</v>
      </c>
      <c r="B352" s="155" t="s">
        <v>1297</v>
      </c>
      <c r="C352" s="166" t="s">
        <v>1298</v>
      </c>
      <c r="D352" s="193" t="str">
        <f t="shared" si="101"/>
        <v>刘娅410105198207281648</v>
      </c>
      <c r="E352" s="166" t="s">
        <v>1299</v>
      </c>
      <c r="F352" s="156"/>
      <c r="G352" s="239">
        <v>6</v>
      </c>
      <c r="H352" s="115">
        <v>1</v>
      </c>
      <c r="I352" s="115">
        <v>25</v>
      </c>
      <c r="J352" s="115">
        <v>2505</v>
      </c>
      <c r="K352" s="115">
        <v>93.07</v>
      </c>
      <c r="L352" s="115">
        <v>19660</v>
      </c>
      <c r="M352" s="115"/>
      <c r="N352" s="115"/>
      <c r="O352" s="431">
        <v>12000</v>
      </c>
      <c r="P352" s="445">
        <v>1116840</v>
      </c>
      <c r="Q352" s="445" t="s">
        <v>56</v>
      </c>
      <c r="R352" s="115">
        <v>1116840</v>
      </c>
      <c r="S352" s="115"/>
      <c r="T352" s="445">
        <v>0</v>
      </c>
      <c r="U352" s="115"/>
      <c r="V352" s="115"/>
      <c r="W352" s="115">
        <v>6049</v>
      </c>
      <c r="X352" s="115">
        <v>80</v>
      </c>
      <c r="Y352" s="115"/>
      <c r="Z352" s="115"/>
      <c r="AA352" s="246"/>
      <c r="AB352" s="115"/>
      <c r="AC352" s="115"/>
      <c r="AD352" s="115"/>
      <c r="AE352" s="181"/>
      <c r="AF352" s="181"/>
      <c r="AG352" s="246" t="s">
        <v>1300</v>
      </c>
      <c r="AH352" s="181"/>
      <c r="AI352" s="132">
        <f t="shared" ref="AI352:AI360" si="111">R352+V352+W352+X352+AA352+AB352+AC352+AD352</f>
        <v>1122969</v>
      </c>
      <c r="AJ352" s="132">
        <f t="shared" ref="AJ352:AJ360" si="112">R352+W352+V352+X352+AA352</f>
        <v>1122969</v>
      </c>
      <c r="AK352" s="132">
        <f t="shared" ref="AK352:AK360" si="113">AI352-AJ352</f>
        <v>0</v>
      </c>
      <c r="AL352" s="181"/>
      <c r="AM352" s="115" t="s">
        <v>974</v>
      </c>
      <c r="AN352" s="246">
        <v>44846</v>
      </c>
      <c r="AO352" s="259"/>
    </row>
    <row r="353" s="96" customFormat="1" customHeight="1" spans="1:41">
      <c r="A353" s="106" t="s">
        <v>1301</v>
      </c>
      <c r="B353" s="155" t="s">
        <v>1302</v>
      </c>
      <c r="C353" s="454" t="s">
        <v>1303</v>
      </c>
      <c r="D353" s="193" t="str">
        <f t="shared" si="101"/>
        <v>王睿涛41010519770318165x</v>
      </c>
      <c r="E353" s="155">
        <v>13525503516</v>
      </c>
      <c r="F353" s="115"/>
      <c r="G353" s="115">
        <v>2</v>
      </c>
      <c r="H353" s="115">
        <v>7</v>
      </c>
      <c r="I353" s="115"/>
      <c r="J353" s="115">
        <v>706</v>
      </c>
      <c r="K353" s="115">
        <v>49.44</v>
      </c>
      <c r="L353" s="239">
        <v>30000</v>
      </c>
      <c r="M353" s="239"/>
      <c r="N353" s="239"/>
      <c r="O353" s="431">
        <v>8795</v>
      </c>
      <c r="P353" s="239">
        <v>434825</v>
      </c>
      <c r="Q353" s="445" t="s">
        <v>56</v>
      </c>
      <c r="R353" s="115">
        <v>434825</v>
      </c>
      <c r="S353" s="115"/>
      <c r="T353" s="445">
        <v>0</v>
      </c>
      <c r="U353" s="115"/>
      <c r="V353" s="115"/>
      <c r="W353" s="115">
        <v>3213</v>
      </c>
      <c r="X353" s="115">
        <v>550</v>
      </c>
      <c r="Y353" s="115"/>
      <c r="Z353" s="115" t="s">
        <v>48</v>
      </c>
      <c r="AA353" s="246"/>
      <c r="AB353" s="115"/>
      <c r="AC353" s="115"/>
      <c r="AD353" s="115"/>
      <c r="AE353" s="181"/>
      <c r="AF353" s="181"/>
      <c r="AG353" s="247">
        <v>42385</v>
      </c>
      <c r="AH353" s="181"/>
      <c r="AI353" s="132">
        <f t="shared" si="111"/>
        <v>438588</v>
      </c>
      <c r="AJ353" s="132">
        <f t="shared" si="112"/>
        <v>438588</v>
      </c>
      <c r="AK353" s="132">
        <f t="shared" si="113"/>
        <v>0</v>
      </c>
      <c r="AL353" s="181"/>
      <c r="AM353" s="115" t="s">
        <v>974</v>
      </c>
      <c r="AN353" s="246">
        <v>44846</v>
      </c>
      <c r="AO353" s="259"/>
    </row>
    <row r="354" s="96" customFormat="1" customHeight="1" spans="1:41">
      <c r="A354" s="106" t="s">
        <v>1304</v>
      </c>
      <c r="B354" s="115" t="s">
        <v>1305</v>
      </c>
      <c r="C354" s="546" t="s">
        <v>1306</v>
      </c>
      <c r="D354" s="193" t="str">
        <f t="shared" si="101"/>
        <v>段静410527199110165020</v>
      </c>
      <c r="E354" s="115">
        <v>17513305851</v>
      </c>
      <c r="F354" s="291"/>
      <c r="G354" s="115">
        <v>10</v>
      </c>
      <c r="H354" s="115">
        <v>2</v>
      </c>
      <c r="I354" s="115">
        <v>15</v>
      </c>
      <c r="J354" s="115">
        <v>1506</v>
      </c>
      <c r="K354" s="115">
        <v>99.52</v>
      </c>
      <c r="L354" s="115">
        <v>9100</v>
      </c>
      <c r="M354" s="181"/>
      <c r="N354" s="181"/>
      <c r="O354" s="431">
        <v>9000</v>
      </c>
      <c r="P354" s="115">
        <v>895680</v>
      </c>
      <c r="Q354" s="115" t="s">
        <v>66</v>
      </c>
      <c r="R354" s="115">
        <v>285100</v>
      </c>
      <c r="S354" s="115"/>
      <c r="T354" s="115">
        <v>610580</v>
      </c>
      <c r="U354" s="115"/>
      <c r="V354" s="133"/>
      <c r="W354" s="133"/>
      <c r="X354" s="133"/>
      <c r="Y354" s="115"/>
      <c r="Z354" s="115"/>
      <c r="AA354" s="133"/>
      <c r="AB354" s="115"/>
      <c r="AC354" s="115"/>
      <c r="AD354" s="115"/>
      <c r="AE354" s="115"/>
      <c r="AF354" s="291"/>
      <c r="AG354" s="246">
        <v>42159</v>
      </c>
      <c r="AH354" s="133">
        <f>AJ354</f>
        <v>285100</v>
      </c>
      <c r="AI354" s="132">
        <f t="shared" si="111"/>
        <v>285100</v>
      </c>
      <c r="AJ354" s="132">
        <f t="shared" si="112"/>
        <v>285100</v>
      </c>
      <c r="AK354" s="132">
        <f t="shared" si="113"/>
        <v>0</v>
      </c>
      <c r="AL354" s="176"/>
      <c r="AM354" s="133" t="s">
        <v>886</v>
      </c>
      <c r="AN354" s="246">
        <v>44846</v>
      </c>
      <c r="AO354" s="259"/>
    </row>
    <row r="355" s="96" customFormat="1" customHeight="1" spans="1:41">
      <c r="A355" s="106" t="s">
        <v>1307</v>
      </c>
      <c r="B355" s="115" t="s">
        <v>1308</v>
      </c>
      <c r="C355" s="193" t="s">
        <v>1309</v>
      </c>
      <c r="D355" s="193" t="str">
        <f t="shared" si="101"/>
        <v>高欢欢410782198608192780</v>
      </c>
      <c r="E355" s="115">
        <v>15139082295</v>
      </c>
      <c r="F355" s="291"/>
      <c r="G355" s="115">
        <v>2</v>
      </c>
      <c r="H355" s="115">
        <v>15</v>
      </c>
      <c r="I355" s="115"/>
      <c r="J355" s="115">
        <v>1508</v>
      </c>
      <c r="K355" s="115">
        <v>49.37</v>
      </c>
      <c r="L355" s="115">
        <v>30000</v>
      </c>
      <c r="M355" s="181"/>
      <c r="N355" s="181"/>
      <c r="O355" s="431">
        <v>14887.58</v>
      </c>
      <c r="P355" s="115">
        <v>735000</v>
      </c>
      <c r="Q355" s="115" t="s">
        <v>66</v>
      </c>
      <c r="R355" s="115">
        <v>375000</v>
      </c>
      <c r="S355" s="115"/>
      <c r="T355" s="115">
        <v>360000</v>
      </c>
      <c r="U355" s="115"/>
      <c r="V355" s="133"/>
      <c r="W355" s="133">
        <v>3209</v>
      </c>
      <c r="X355" s="133">
        <v>550</v>
      </c>
      <c r="Y355" s="115"/>
      <c r="Z355" s="115"/>
      <c r="AA355" s="133"/>
      <c r="AB355" s="115"/>
      <c r="AC355" s="115">
        <v>53736</v>
      </c>
      <c r="AD355" s="115"/>
      <c r="AE355" s="115"/>
      <c r="AF355" s="291"/>
      <c r="AG355" s="246">
        <v>43288</v>
      </c>
      <c r="AH355" s="133">
        <f>AJ355-110000</f>
        <v>268759</v>
      </c>
      <c r="AI355" s="132">
        <f t="shared" si="111"/>
        <v>432495</v>
      </c>
      <c r="AJ355" s="132">
        <f t="shared" si="112"/>
        <v>378759</v>
      </c>
      <c r="AK355" s="132">
        <f t="shared" si="113"/>
        <v>53736</v>
      </c>
      <c r="AL355" s="176" t="s">
        <v>1310</v>
      </c>
      <c r="AM355" s="133" t="s">
        <v>886</v>
      </c>
      <c r="AN355" s="246">
        <v>44846</v>
      </c>
      <c r="AO355" s="259"/>
    </row>
    <row r="356" s="96" customFormat="1" customHeight="1" spans="1:41">
      <c r="A356" s="106" t="s">
        <v>1311</v>
      </c>
      <c r="B356" s="115" t="s">
        <v>1312</v>
      </c>
      <c r="C356" s="193" t="s">
        <v>1313</v>
      </c>
      <c r="D356" s="193" t="str">
        <f t="shared" si="101"/>
        <v>张玉鑫412825199307071525</v>
      </c>
      <c r="E356" s="115">
        <v>15638207728</v>
      </c>
      <c r="F356" s="291"/>
      <c r="G356" s="115">
        <v>2</v>
      </c>
      <c r="H356" s="115">
        <v>15</v>
      </c>
      <c r="I356" s="115"/>
      <c r="J356" s="115">
        <v>1501</v>
      </c>
      <c r="K356" s="115">
        <v>45.04</v>
      </c>
      <c r="L356" s="115">
        <v>30000</v>
      </c>
      <c r="M356" s="181"/>
      <c r="N356" s="181"/>
      <c r="O356" s="431">
        <v>14764.65</v>
      </c>
      <c r="P356" s="115">
        <v>665000</v>
      </c>
      <c r="Q356" s="115" t="s">
        <v>66</v>
      </c>
      <c r="R356" s="115">
        <v>335000</v>
      </c>
      <c r="S356" s="115"/>
      <c r="T356" s="115">
        <v>330000</v>
      </c>
      <c r="U356" s="115"/>
      <c r="V356" s="133"/>
      <c r="W356" s="133">
        <v>2927</v>
      </c>
      <c r="X356" s="133">
        <v>550</v>
      </c>
      <c r="Y356" s="115"/>
      <c r="Z356" s="115" t="s">
        <v>48</v>
      </c>
      <c r="AA356" s="133"/>
      <c r="AB356" s="115"/>
      <c r="AC356" s="115"/>
      <c r="AD356" s="115"/>
      <c r="AE356" s="115"/>
      <c r="AF356" s="291"/>
      <c r="AG356" s="246">
        <v>43271</v>
      </c>
      <c r="AH356" s="133">
        <f>AJ356-95000</f>
        <v>243477</v>
      </c>
      <c r="AI356" s="132">
        <f t="shared" si="111"/>
        <v>338477</v>
      </c>
      <c r="AJ356" s="132">
        <f t="shared" si="112"/>
        <v>338477</v>
      </c>
      <c r="AK356" s="132">
        <f t="shared" si="113"/>
        <v>0</v>
      </c>
      <c r="AL356" s="176"/>
      <c r="AM356" s="133" t="s">
        <v>886</v>
      </c>
      <c r="AN356" s="246">
        <v>44846</v>
      </c>
      <c r="AO356" s="259"/>
    </row>
    <row r="357" s="96" customFormat="1" customHeight="1" spans="1:41">
      <c r="A357" s="106" t="s">
        <v>1314</v>
      </c>
      <c r="B357" s="106" t="s">
        <v>1315</v>
      </c>
      <c r="C357" s="193" t="s">
        <v>1316</v>
      </c>
      <c r="D357" s="193" t="str">
        <f t="shared" si="101"/>
        <v>魏诗瑛410103196609181920</v>
      </c>
      <c r="E357" s="115" t="s">
        <v>1317</v>
      </c>
      <c r="F357" s="291"/>
      <c r="G357" s="115">
        <v>6</v>
      </c>
      <c r="H357" s="115">
        <v>1</v>
      </c>
      <c r="I357" s="115">
        <v>15</v>
      </c>
      <c r="J357" s="115">
        <v>1505</v>
      </c>
      <c r="K357" s="115">
        <v>93.07</v>
      </c>
      <c r="L357" s="115">
        <v>19680</v>
      </c>
      <c r="M357" s="181"/>
      <c r="N357" s="181"/>
      <c r="O357" s="431">
        <v>11000</v>
      </c>
      <c r="P357" s="115">
        <v>1023770</v>
      </c>
      <c r="Q357" s="115" t="s">
        <v>56</v>
      </c>
      <c r="R357" s="115">
        <v>1048300</v>
      </c>
      <c r="S357" s="115"/>
      <c r="T357" s="115"/>
      <c r="U357" s="115"/>
      <c r="V357" s="133"/>
      <c r="W357" s="133"/>
      <c r="X357" s="133"/>
      <c r="Y357" s="115"/>
      <c r="Z357" s="115"/>
      <c r="AA357" s="133"/>
      <c r="AB357" s="115"/>
      <c r="AC357" s="115"/>
      <c r="AD357" s="115"/>
      <c r="AE357" s="115"/>
      <c r="AF357" s="291"/>
      <c r="AG357" s="246">
        <v>42942</v>
      </c>
      <c r="AH357" s="133">
        <f>AJ357</f>
        <v>1048300</v>
      </c>
      <c r="AI357" s="132">
        <f t="shared" si="111"/>
        <v>1048300</v>
      </c>
      <c r="AJ357" s="132">
        <f t="shared" si="112"/>
        <v>1048300</v>
      </c>
      <c r="AK357" s="132">
        <f t="shared" si="113"/>
        <v>0</v>
      </c>
      <c r="AL357" s="176" t="s">
        <v>1318</v>
      </c>
      <c r="AM357" s="133" t="s">
        <v>886</v>
      </c>
      <c r="AN357" s="246">
        <v>44846</v>
      </c>
      <c r="AO357" s="259"/>
    </row>
    <row r="358" s="96" customFormat="1" customHeight="1" spans="1:41">
      <c r="A358" s="106" t="s">
        <v>1319</v>
      </c>
      <c r="B358" s="115" t="s">
        <v>1320</v>
      </c>
      <c r="C358" s="546" t="s">
        <v>1321</v>
      </c>
      <c r="D358" s="193" t="str">
        <f t="shared" si="101"/>
        <v>谢磊410105197503181655</v>
      </c>
      <c r="E358" s="115" t="s">
        <v>1322</v>
      </c>
      <c r="F358" s="291"/>
      <c r="G358" s="115">
        <v>3</v>
      </c>
      <c r="H358" s="115">
        <v>28</v>
      </c>
      <c r="I358" s="115"/>
      <c r="J358" s="115">
        <v>2805</v>
      </c>
      <c r="K358" s="115">
        <v>59.91</v>
      </c>
      <c r="L358" s="115">
        <v>20000</v>
      </c>
      <c r="M358" s="181"/>
      <c r="N358" s="181"/>
      <c r="O358" s="431">
        <v>10000</v>
      </c>
      <c r="P358" s="115">
        <v>599100</v>
      </c>
      <c r="Q358" s="115" t="s">
        <v>56</v>
      </c>
      <c r="R358" s="115">
        <v>599100</v>
      </c>
      <c r="S358" s="115"/>
      <c r="T358" s="115" t="s">
        <v>47</v>
      </c>
      <c r="U358" s="115"/>
      <c r="V358" s="133"/>
      <c r="W358" s="133">
        <v>3894</v>
      </c>
      <c r="X358" s="133">
        <v>564</v>
      </c>
      <c r="Y358" s="115"/>
      <c r="Z358" s="115" t="s">
        <v>48</v>
      </c>
      <c r="AA358" s="133"/>
      <c r="AB358" s="115"/>
      <c r="AC358" s="115"/>
      <c r="AD358" s="115"/>
      <c r="AE358" s="115"/>
      <c r="AF358" s="291"/>
      <c r="AG358" s="246">
        <v>43978</v>
      </c>
      <c r="AH358" s="133"/>
      <c r="AI358" s="132">
        <f t="shared" si="111"/>
        <v>603558</v>
      </c>
      <c r="AJ358" s="132">
        <f t="shared" si="112"/>
        <v>603558</v>
      </c>
      <c r="AK358" s="132">
        <f t="shared" si="113"/>
        <v>0</v>
      </c>
      <c r="AL358" s="176"/>
      <c r="AM358" s="133" t="s">
        <v>886</v>
      </c>
      <c r="AN358" s="246">
        <v>44846</v>
      </c>
      <c r="AO358" s="259"/>
    </row>
    <row r="359" s="96" customFormat="1" customHeight="1" spans="1:41">
      <c r="A359" s="106" t="s">
        <v>1323</v>
      </c>
      <c r="B359" s="115" t="s">
        <v>1324</v>
      </c>
      <c r="C359" s="193" t="s">
        <v>1325</v>
      </c>
      <c r="D359" s="193" t="str">
        <f t="shared" si="101"/>
        <v>张海涛410126197912270319</v>
      </c>
      <c r="E359" s="115">
        <v>15516156222</v>
      </c>
      <c r="F359" s="291"/>
      <c r="G359" s="115">
        <v>6</v>
      </c>
      <c r="H359" s="115">
        <v>1</v>
      </c>
      <c r="I359" s="115">
        <v>19</v>
      </c>
      <c r="J359" s="115">
        <v>1905</v>
      </c>
      <c r="K359" s="115">
        <v>93.07</v>
      </c>
      <c r="L359" s="115">
        <v>17900</v>
      </c>
      <c r="M359" s="181"/>
      <c r="N359" s="181"/>
      <c r="O359" s="431">
        <v>13800</v>
      </c>
      <c r="P359" s="115">
        <v>1284366</v>
      </c>
      <c r="Q359" s="115" t="s">
        <v>56</v>
      </c>
      <c r="R359" s="115">
        <v>1309011</v>
      </c>
      <c r="S359" s="115"/>
      <c r="T359" s="115" t="s">
        <v>47</v>
      </c>
      <c r="U359" s="115"/>
      <c r="V359" s="133"/>
      <c r="W359" s="133">
        <v>6049</v>
      </c>
      <c r="X359" s="133">
        <v>80</v>
      </c>
      <c r="Y359" s="115"/>
      <c r="Z359" s="115" t="s">
        <v>48</v>
      </c>
      <c r="AA359" s="133"/>
      <c r="AB359" s="115"/>
      <c r="AC359" s="115"/>
      <c r="AD359" s="115"/>
      <c r="AE359" s="115"/>
      <c r="AF359" s="291"/>
      <c r="AG359" s="246">
        <v>43978</v>
      </c>
      <c r="AH359" s="133"/>
      <c r="AI359" s="132">
        <f t="shared" si="111"/>
        <v>1315140</v>
      </c>
      <c r="AJ359" s="132">
        <f t="shared" si="112"/>
        <v>1315140</v>
      </c>
      <c r="AK359" s="132">
        <f t="shared" si="113"/>
        <v>0</v>
      </c>
      <c r="AL359" s="176"/>
      <c r="AM359" s="133" t="s">
        <v>886</v>
      </c>
      <c r="AN359" s="246">
        <v>44846</v>
      </c>
      <c r="AO359" s="259"/>
    </row>
    <row r="360" s="96" customFormat="1" customHeight="1" spans="1:41">
      <c r="A360" s="106" t="s">
        <v>1326</v>
      </c>
      <c r="B360" s="115" t="s">
        <v>1327</v>
      </c>
      <c r="C360" s="546" t="s">
        <v>1328</v>
      </c>
      <c r="D360" s="193" t="str">
        <f t="shared" si="101"/>
        <v>刘冰410105197510150523</v>
      </c>
      <c r="E360" s="115" t="s">
        <v>1329</v>
      </c>
      <c r="F360" s="291"/>
      <c r="G360" s="115">
        <v>11</v>
      </c>
      <c r="H360" s="115">
        <v>3</v>
      </c>
      <c r="I360" s="115">
        <v>26</v>
      </c>
      <c r="J360" s="115">
        <v>2602</v>
      </c>
      <c r="K360" s="115">
        <v>95.81</v>
      </c>
      <c r="L360" s="115">
        <v>19940</v>
      </c>
      <c r="M360" s="181"/>
      <c r="N360" s="181"/>
      <c r="O360" s="431">
        <v>17500</v>
      </c>
      <c r="P360" s="115">
        <v>1676675</v>
      </c>
      <c r="Q360" s="115" t="s">
        <v>56</v>
      </c>
      <c r="R360" s="115">
        <v>1676675</v>
      </c>
      <c r="S360" s="115"/>
      <c r="T360" s="115" t="s">
        <v>47</v>
      </c>
      <c r="U360" s="115"/>
      <c r="V360" s="133"/>
      <c r="W360" s="133">
        <v>6227</v>
      </c>
      <c r="X360" s="133">
        <v>80</v>
      </c>
      <c r="Y360" s="115"/>
      <c r="Z360" s="115" t="s">
        <v>48</v>
      </c>
      <c r="AA360" s="133"/>
      <c r="AB360" s="115"/>
      <c r="AC360" s="115"/>
      <c r="AD360" s="115"/>
      <c r="AE360" s="115"/>
      <c r="AF360" s="291"/>
      <c r="AG360" s="246">
        <v>43130</v>
      </c>
      <c r="AH360" s="133">
        <f t="shared" ref="AH360:AH365" si="114">AJ360</f>
        <v>1682982</v>
      </c>
      <c r="AI360" s="132">
        <f t="shared" si="111"/>
        <v>1682982</v>
      </c>
      <c r="AJ360" s="132">
        <f t="shared" si="112"/>
        <v>1682982</v>
      </c>
      <c r="AK360" s="132">
        <f t="shared" si="113"/>
        <v>0</v>
      </c>
      <c r="AL360" s="176"/>
      <c r="AM360" s="133" t="s">
        <v>886</v>
      </c>
      <c r="AN360" s="246">
        <v>44846</v>
      </c>
      <c r="AO360" s="259"/>
    </row>
    <row r="361" s="96" customFormat="1" customHeight="1" spans="1:41">
      <c r="A361" s="106" t="s">
        <v>1330</v>
      </c>
      <c r="B361" s="115" t="s">
        <v>1331</v>
      </c>
      <c r="C361" s="193" t="s">
        <v>1332</v>
      </c>
      <c r="D361" s="193" t="str">
        <f t="shared" si="101"/>
        <v>张斌410728197109060537</v>
      </c>
      <c r="E361" s="115">
        <v>18339219313</v>
      </c>
      <c r="F361" s="291"/>
      <c r="G361" s="115">
        <v>3</v>
      </c>
      <c r="H361" s="115">
        <v>10</v>
      </c>
      <c r="I361" s="115"/>
      <c r="J361" s="115">
        <v>1013</v>
      </c>
      <c r="K361" s="115">
        <v>63.92</v>
      </c>
      <c r="L361" s="115">
        <v>20000</v>
      </c>
      <c r="M361" s="181"/>
      <c r="N361" s="181"/>
      <c r="O361" s="431">
        <v>8841.8</v>
      </c>
      <c r="P361" s="115">
        <v>565168</v>
      </c>
      <c r="Q361" s="115" t="s">
        <v>56</v>
      </c>
      <c r="R361" s="115">
        <v>565168</v>
      </c>
      <c r="S361" s="115"/>
      <c r="T361" s="115" t="s">
        <v>47</v>
      </c>
      <c r="U361" s="115"/>
      <c r="V361" s="133"/>
      <c r="W361" s="133">
        <v>4154</v>
      </c>
      <c r="X361" s="133">
        <v>550</v>
      </c>
      <c r="Y361" s="115"/>
      <c r="Z361" s="115" t="s">
        <v>48</v>
      </c>
      <c r="AA361" s="133"/>
      <c r="AB361" s="115"/>
      <c r="AC361" s="115"/>
      <c r="AD361" s="115"/>
      <c r="AE361" s="115"/>
      <c r="AF361" s="291"/>
      <c r="AG361" s="246">
        <v>43067</v>
      </c>
      <c r="AH361" s="133">
        <f t="shared" si="114"/>
        <v>569872</v>
      </c>
      <c r="AI361" s="132">
        <f t="shared" ref="AI361:AI369" si="115">R361+V361+W361+X361+AA361+AB361+AC361+AD361</f>
        <v>569872</v>
      </c>
      <c r="AJ361" s="132">
        <f t="shared" ref="AJ361:AJ369" si="116">R361+W361+V361+X361+AA361</f>
        <v>569872</v>
      </c>
      <c r="AK361" s="132">
        <f t="shared" ref="AK361:AK369" si="117">AI361-AJ361</f>
        <v>0</v>
      </c>
      <c r="AL361" s="176"/>
      <c r="AM361" s="133" t="s">
        <v>886</v>
      </c>
      <c r="AN361" s="246">
        <v>44846</v>
      </c>
      <c r="AO361" s="259"/>
    </row>
    <row r="362" s="96" customFormat="1" customHeight="1" spans="1:41">
      <c r="A362" s="106" t="s">
        <v>1333</v>
      </c>
      <c r="B362" s="115" t="s">
        <v>1331</v>
      </c>
      <c r="C362" s="193" t="s">
        <v>1332</v>
      </c>
      <c r="D362" s="193" t="str">
        <f t="shared" si="101"/>
        <v>张斌410728197109060537</v>
      </c>
      <c r="E362" s="115">
        <v>18339219313</v>
      </c>
      <c r="F362" s="291"/>
      <c r="G362" s="115">
        <v>3</v>
      </c>
      <c r="H362" s="115">
        <v>10</v>
      </c>
      <c r="I362" s="115"/>
      <c r="J362" s="115">
        <v>1014</v>
      </c>
      <c r="K362" s="115">
        <v>75.81</v>
      </c>
      <c r="L362" s="115">
        <v>20000</v>
      </c>
      <c r="M362" s="181"/>
      <c r="N362" s="181"/>
      <c r="O362" s="431">
        <v>8451.68</v>
      </c>
      <c r="P362" s="115">
        <v>640722</v>
      </c>
      <c r="Q362" s="115" t="s">
        <v>56</v>
      </c>
      <c r="R362" s="115">
        <v>640722</v>
      </c>
      <c r="S362" s="115"/>
      <c r="T362" s="115" t="s">
        <v>47</v>
      </c>
      <c r="U362" s="115"/>
      <c r="V362" s="133"/>
      <c r="W362" s="133">
        <v>4927</v>
      </c>
      <c r="X362" s="133">
        <v>550</v>
      </c>
      <c r="Y362" s="115"/>
      <c r="Z362" s="115" t="s">
        <v>48</v>
      </c>
      <c r="AA362" s="133"/>
      <c r="AB362" s="115"/>
      <c r="AC362" s="115"/>
      <c r="AD362" s="115"/>
      <c r="AE362" s="115"/>
      <c r="AF362" s="291"/>
      <c r="AG362" s="246">
        <v>43067</v>
      </c>
      <c r="AH362" s="133">
        <f t="shared" si="114"/>
        <v>646199</v>
      </c>
      <c r="AI362" s="132">
        <f t="shared" si="115"/>
        <v>646199</v>
      </c>
      <c r="AJ362" s="132">
        <f t="shared" si="116"/>
        <v>646199</v>
      </c>
      <c r="AK362" s="132">
        <f t="shared" si="117"/>
        <v>0</v>
      </c>
      <c r="AL362" s="176"/>
      <c r="AM362" s="133" t="s">
        <v>886</v>
      </c>
      <c r="AN362" s="246">
        <v>44846</v>
      </c>
      <c r="AO362" s="259"/>
    </row>
    <row r="363" s="96" customFormat="1" customHeight="1" spans="1:41">
      <c r="A363" s="106" t="s">
        <v>1334</v>
      </c>
      <c r="B363" s="115" t="s">
        <v>1335</v>
      </c>
      <c r="C363" s="193" t="s">
        <v>1336</v>
      </c>
      <c r="D363" s="193" t="str">
        <f t="shared" si="101"/>
        <v>赵亚蕾411303198306026764</v>
      </c>
      <c r="E363" s="115">
        <v>13503994739</v>
      </c>
      <c r="F363" s="291"/>
      <c r="G363" s="115">
        <v>3</v>
      </c>
      <c r="H363" s="115">
        <v>14</v>
      </c>
      <c r="I363" s="115"/>
      <c r="J363" s="115">
        <v>1430</v>
      </c>
      <c r="K363" s="115">
        <v>57.33</v>
      </c>
      <c r="L363" s="115">
        <v>20000</v>
      </c>
      <c r="M363" s="181"/>
      <c r="N363" s="181"/>
      <c r="O363" s="431">
        <v>9991.92</v>
      </c>
      <c r="P363" s="115">
        <v>572837</v>
      </c>
      <c r="Q363" s="115" t="s">
        <v>56</v>
      </c>
      <c r="R363" s="115">
        <v>572837</v>
      </c>
      <c r="S363" s="115"/>
      <c r="T363" s="115" t="s">
        <v>47</v>
      </c>
      <c r="U363" s="115"/>
      <c r="V363" s="133"/>
      <c r="W363" s="133">
        <v>3726</v>
      </c>
      <c r="X363" s="133">
        <v>550</v>
      </c>
      <c r="Y363" s="115"/>
      <c r="Z363" s="115" t="s">
        <v>48</v>
      </c>
      <c r="AA363" s="133"/>
      <c r="AB363" s="115">
        <v>3000</v>
      </c>
      <c r="AC363" s="115"/>
      <c r="AD363" s="115"/>
      <c r="AE363" s="115"/>
      <c r="AF363" s="291"/>
      <c r="AG363" s="246">
        <v>43091</v>
      </c>
      <c r="AH363" s="133">
        <f t="shared" si="114"/>
        <v>577113</v>
      </c>
      <c r="AI363" s="132">
        <f t="shared" si="115"/>
        <v>580113</v>
      </c>
      <c r="AJ363" s="132">
        <f t="shared" si="116"/>
        <v>577113</v>
      </c>
      <c r="AK363" s="132">
        <f t="shared" si="117"/>
        <v>3000</v>
      </c>
      <c r="AL363" s="176"/>
      <c r="AM363" s="133" t="s">
        <v>886</v>
      </c>
      <c r="AN363" s="246">
        <v>44846</v>
      </c>
      <c r="AO363" s="259"/>
    </row>
    <row r="364" s="96" customFormat="1" customHeight="1" spans="1:41">
      <c r="A364" s="106" t="s">
        <v>1337</v>
      </c>
      <c r="B364" s="115" t="s">
        <v>1335</v>
      </c>
      <c r="C364" s="193" t="s">
        <v>1336</v>
      </c>
      <c r="D364" s="193" t="str">
        <f t="shared" si="101"/>
        <v>赵亚蕾411303198306026764</v>
      </c>
      <c r="E364" s="115">
        <v>13503994739</v>
      </c>
      <c r="F364" s="291"/>
      <c r="G364" s="115">
        <v>3</v>
      </c>
      <c r="H364" s="115">
        <v>14</v>
      </c>
      <c r="I364" s="115"/>
      <c r="J364" s="115">
        <v>1429</v>
      </c>
      <c r="K364" s="115">
        <v>57.45</v>
      </c>
      <c r="L364" s="115">
        <v>20000</v>
      </c>
      <c r="M364" s="181"/>
      <c r="N364" s="181"/>
      <c r="O364" s="431">
        <v>9992.55</v>
      </c>
      <c r="P364" s="115">
        <v>574072</v>
      </c>
      <c r="Q364" s="115" t="s">
        <v>56</v>
      </c>
      <c r="R364" s="115">
        <v>574072</v>
      </c>
      <c r="S364" s="115"/>
      <c r="T364" s="115" t="s">
        <v>47</v>
      </c>
      <c r="U364" s="115"/>
      <c r="V364" s="133"/>
      <c r="W364" s="133">
        <v>3734</v>
      </c>
      <c r="X364" s="133">
        <v>550</v>
      </c>
      <c r="Y364" s="115"/>
      <c r="Z364" s="115" t="s">
        <v>48</v>
      </c>
      <c r="AA364" s="133"/>
      <c r="AB364" s="115">
        <v>3000</v>
      </c>
      <c r="AC364" s="115"/>
      <c r="AD364" s="115"/>
      <c r="AE364" s="115"/>
      <c r="AF364" s="291"/>
      <c r="AG364" s="246">
        <v>43091</v>
      </c>
      <c r="AH364" s="133">
        <f t="shared" si="114"/>
        <v>578356</v>
      </c>
      <c r="AI364" s="132">
        <f t="shared" si="115"/>
        <v>581356</v>
      </c>
      <c r="AJ364" s="132">
        <f t="shared" si="116"/>
        <v>578356</v>
      </c>
      <c r="AK364" s="132">
        <f t="shared" si="117"/>
        <v>3000</v>
      </c>
      <c r="AL364" s="176"/>
      <c r="AM364" s="133" t="s">
        <v>886</v>
      </c>
      <c r="AN364" s="246">
        <v>44846</v>
      </c>
      <c r="AO364" s="259"/>
    </row>
    <row r="365" s="96" customFormat="1" customHeight="1" spans="1:41">
      <c r="A365" s="106" t="s">
        <v>1338</v>
      </c>
      <c r="B365" s="115" t="s">
        <v>1339</v>
      </c>
      <c r="C365" s="193" t="s">
        <v>1340</v>
      </c>
      <c r="D365" s="193" t="str">
        <f t="shared" si="101"/>
        <v>孙瑜410181198508095028</v>
      </c>
      <c r="E365" s="115">
        <v>13663822342</v>
      </c>
      <c r="F365" s="291"/>
      <c r="G365" s="115">
        <v>9</v>
      </c>
      <c r="H365" s="115">
        <v>3</v>
      </c>
      <c r="I365" s="115">
        <v>17</v>
      </c>
      <c r="J365" s="115">
        <v>1701</v>
      </c>
      <c r="K365" s="115">
        <v>93.4</v>
      </c>
      <c r="L365" s="115">
        <v>8766</v>
      </c>
      <c r="M365" s="181"/>
      <c r="N365" s="181"/>
      <c r="O365" s="431">
        <v>8665.6</v>
      </c>
      <c r="P365" s="115">
        <v>809367</v>
      </c>
      <c r="Q365" s="115" t="s">
        <v>66</v>
      </c>
      <c r="R365" s="115">
        <v>409367</v>
      </c>
      <c r="S365" s="97"/>
      <c r="T365" s="115">
        <v>400000</v>
      </c>
      <c r="U365" s="115"/>
      <c r="V365" s="133"/>
      <c r="W365" s="133">
        <v>6071</v>
      </c>
      <c r="X365" s="133">
        <v>80</v>
      </c>
      <c r="Y365" s="115"/>
      <c r="Z365" s="115"/>
      <c r="AA365" s="133"/>
      <c r="AB365" s="115"/>
      <c r="AC365" s="115"/>
      <c r="AD365" s="115"/>
      <c r="AE365" s="115"/>
      <c r="AF365" s="291"/>
      <c r="AG365" s="246">
        <v>43096</v>
      </c>
      <c r="AH365" s="133">
        <f t="shared" si="114"/>
        <v>415518</v>
      </c>
      <c r="AI365" s="132">
        <f t="shared" si="115"/>
        <v>415518</v>
      </c>
      <c r="AJ365" s="132">
        <f t="shared" si="116"/>
        <v>415518</v>
      </c>
      <c r="AK365" s="132">
        <f t="shared" si="117"/>
        <v>0</v>
      </c>
      <c r="AL365" s="176"/>
      <c r="AM365" s="133" t="s">
        <v>886</v>
      </c>
      <c r="AN365" s="246">
        <v>44846</v>
      </c>
      <c r="AO365" s="259"/>
    </row>
    <row r="366" s="96" customFormat="1" customHeight="1" spans="1:41">
      <c r="A366" s="106" t="s">
        <v>1341</v>
      </c>
      <c r="B366" s="107" t="s">
        <v>1342</v>
      </c>
      <c r="C366" s="166" t="s">
        <v>1343</v>
      </c>
      <c r="D366" s="193" t="str">
        <f t="shared" si="101"/>
        <v>陈利410727198103074127</v>
      </c>
      <c r="E366" s="155">
        <v>13837172208</v>
      </c>
      <c r="F366" s="115" t="s">
        <v>1344</v>
      </c>
      <c r="G366" s="115">
        <v>3</v>
      </c>
      <c r="H366" s="115">
        <v>10</v>
      </c>
      <c r="I366" s="115"/>
      <c r="J366" s="115">
        <v>1019</v>
      </c>
      <c r="K366" s="115">
        <v>70.67</v>
      </c>
      <c r="L366" s="115">
        <v>20000</v>
      </c>
      <c r="M366" s="115"/>
      <c r="N366" s="115"/>
      <c r="O366" s="431">
        <v>8626.79190950226</v>
      </c>
      <c r="P366" s="445">
        <v>609655</v>
      </c>
      <c r="Q366" s="445" t="s">
        <v>56</v>
      </c>
      <c r="R366" s="449">
        <v>609655</v>
      </c>
      <c r="S366" s="449"/>
      <c r="T366" s="293">
        <v>0</v>
      </c>
      <c r="U366" s="293"/>
      <c r="V366" s="293"/>
      <c r="W366" s="293">
        <v>4593</v>
      </c>
      <c r="X366" s="293">
        <v>550</v>
      </c>
      <c r="Y366" s="293"/>
      <c r="Z366" s="115" t="s">
        <v>48</v>
      </c>
      <c r="AA366" s="246"/>
      <c r="AB366" s="115"/>
      <c r="AC366" s="115"/>
      <c r="AD366" s="115"/>
      <c r="AE366" s="181"/>
      <c r="AF366" s="181"/>
      <c r="AG366" s="247">
        <v>43316</v>
      </c>
      <c r="AH366" s="181">
        <f>186568+193051</f>
        <v>379619</v>
      </c>
      <c r="AI366" s="132">
        <f t="shared" si="115"/>
        <v>614798</v>
      </c>
      <c r="AJ366" s="132">
        <f t="shared" si="116"/>
        <v>614798</v>
      </c>
      <c r="AK366" s="132">
        <f t="shared" si="117"/>
        <v>0</v>
      </c>
      <c r="AL366" s="181"/>
      <c r="AM366" s="115" t="s">
        <v>974</v>
      </c>
      <c r="AN366" s="246">
        <v>44846</v>
      </c>
      <c r="AO366" s="259"/>
    </row>
    <row r="367" s="96" customFormat="1" customHeight="1" spans="1:41">
      <c r="A367" s="106" t="s">
        <v>1345</v>
      </c>
      <c r="B367" s="155" t="s">
        <v>1346</v>
      </c>
      <c r="C367" s="166" t="s">
        <v>1347</v>
      </c>
      <c r="D367" s="193" t="str">
        <f t="shared" si="101"/>
        <v>贾辉     陈新慧410123197904200012  410123197708030028</v>
      </c>
      <c r="E367" s="166" t="s">
        <v>1348</v>
      </c>
      <c r="F367" s="156"/>
      <c r="G367" s="115">
        <v>2</v>
      </c>
      <c r="H367" s="115">
        <v>20</v>
      </c>
      <c r="I367" s="115"/>
      <c r="J367" s="115">
        <v>2026</v>
      </c>
      <c r="K367" s="115">
        <v>48.64</v>
      </c>
      <c r="L367" s="239">
        <v>30000</v>
      </c>
      <c r="M367" s="239"/>
      <c r="N367" s="239"/>
      <c r="O367" s="431">
        <v>15000</v>
      </c>
      <c r="P367" s="239">
        <v>729600</v>
      </c>
      <c r="Q367" s="445" t="s">
        <v>66</v>
      </c>
      <c r="R367" s="115">
        <v>369600</v>
      </c>
      <c r="S367" s="115"/>
      <c r="T367" s="445">
        <v>0</v>
      </c>
      <c r="U367" s="115"/>
      <c r="V367" s="445">
        <v>360000</v>
      </c>
      <c r="W367" s="115">
        <v>3161</v>
      </c>
      <c r="X367" s="445">
        <v>560</v>
      </c>
      <c r="Y367" s="445"/>
      <c r="Z367" s="115" t="s">
        <v>48</v>
      </c>
      <c r="AA367" s="246"/>
      <c r="AB367" s="115"/>
      <c r="AC367" s="115"/>
      <c r="AD367" s="115"/>
      <c r="AE367" s="181"/>
      <c r="AF367" s="181"/>
      <c r="AG367" s="247">
        <v>43805</v>
      </c>
      <c r="AH367" s="181"/>
      <c r="AI367" s="132">
        <f t="shared" si="115"/>
        <v>733321</v>
      </c>
      <c r="AJ367" s="132">
        <f t="shared" si="116"/>
        <v>733321</v>
      </c>
      <c r="AK367" s="132">
        <f t="shared" si="117"/>
        <v>0</v>
      </c>
      <c r="AL367" s="181"/>
      <c r="AM367" s="115" t="s">
        <v>974</v>
      </c>
      <c r="AN367" s="246">
        <v>44846</v>
      </c>
      <c r="AO367" s="259"/>
    </row>
    <row r="368" s="96" customFormat="1" customHeight="1" spans="1:41">
      <c r="A368" s="106" t="s">
        <v>1349</v>
      </c>
      <c r="B368" s="107" t="s">
        <v>1350</v>
      </c>
      <c r="C368" s="166" t="s">
        <v>1351</v>
      </c>
      <c r="D368" s="193" t="str">
        <f t="shared" si="101"/>
        <v>魏时娜410522198903053786</v>
      </c>
      <c r="E368" s="166" t="s">
        <v>1352</v>
      </c>
      <c r="F368" s="156"/>
      <c r="G368" s="115">
        <v>3</v>
      </c>
      <c r="H368" s="115">
        <v>15</v>
      </c>
      <c r="I368" s="115"/>
      <c r="J368" s="115">
        <v>1529</v>
      </c>
      <c r="K368" s="115">
        <v>57.45</v>
      </c>
      <c r="L368" s="115">
        <v>20000</v>
      </c>
      <c r="M368" s="115"/>
      <c r="N368" s="115"/>
      <c r="O368" s="431">
        <v>14273.28</v>
      </c>
      <c r="P368" s="445">
        <v>820000</v>
      </c>
      <c r="Q368" s="445" t="s">
        <v>66</v>
      </c>
      <c r="R368" s="449">
        <v>410000</v>
      </c>
      <c r="S368" s="449"/>
      <c r="T368" s="293">
        <v>410000</v>
      </c>
      <c r="U368" s="293"/>
      <c r="V368" s="239"/>
      <c r="W368" s="293">
        <v>3734</v>
      </c>
      <c r="X368" s="293">
        <v>550</v>
      </c>
      <c r="Y368" s="293"/>
      <c r="Z368" s="115" t="s">
        <v>48</v>
      </c>
      <c r="AA368" s="246"/>
      <c r="AB368" s="115"/>
      <c r="AC368" s="115"/>
      <c r="AD368" s="115"/>
      <c r="AE368" s="181"/>
      <c r="AF368" s="181"/>
      <c r="AG368" s="247">
        <v>43270</v>
      </c>
      <c r="AH368" s="181">
        <f>AI368-120000</f>
        <v>294284</v>
      </c>
      <c r="AI368" s="132">
        <f t="shared" si="115"/>
        <v>414284</v>
      </c>
      <c r="AJ368" s="132">
        <f t="shared" si="116"/>
        <v>414284</v>
      </c>
      <c r="AK368" s="132">
        <f t="shared" si="117"/>
        <v>0</v>
      </c>
      <c r="AL368" s="181"/>
      <c r="AM368" s="115" t="s">
        <v>974</v>
      </c>
      <c r="AN368" s="246">
        <v>44846</v>
      </c>
      <c r="AO368" s="259"/>
    </row>
    <row r="369" s="96" customFormat="1" customHeight="1" spans="1:41">
      <c r="A369" s="106" t="s">
        <v>1353</v>
      </c>
      <c r="B369" s="107" t="s">
        <v>1354</v>
      </c>
      <c r="C369" s="166" t="s">
        <v>1355</v>
      </c>
      <c r="D369" s="193" t="str">
        <f t="shared" si="101"/>
        <v>靳冉410503198712150023</v>
      </c>
      <c r="E369" s="166" t="s">
        <v>1356</v>
      </c>
      <c r="F369" s="156"/>
      <c r="G369" s="115">
        <v>3</v>
      </c>
      <c r="H369" s="115">
        <v>15</v>
      </c>
      <c r="I369" s="115"/>
      <c r="J369" s="115">
        <v>1507</v>
      </c>
      <c r="K369" s="115">
        <v>61.94</v>
      </c>
      <c r="L369" s="115">
        <v>20000</v>
      </c>
      <c r="M369" s="115"/>
      <c r="N369" s="115"/>
      <c r="O369" s="431">
        <v>11000</v>
      </c>
      <c r="P369" s="445">
        <v>681340</v>
      </c>
      <c r="Q369" s="445" t="s">
        <v>56</v>
      </c>
      <c r="R369" s="448">
        <v>681340</v>
      </c>
      <c r="S369" s="448"/>
      <c r="T369" s="293" t="s">
        <v>47</v>
      </c>
      <c r="U369" s="293"/>
      <c r="V369" s="293"/>
      <c r="W369" s="293">
        <v>4246</v>
      </c>
      <c r="X369" s="293">
        <v>550</v>
      </c>
      <c r="Y369" s="293"/>
      <c r="Z369" s="115" t="s">
        <v>48</v>
      </c>
      <c r="AA369" s="246"/>
      <c r="AB369" s="115"/>
      <c r="AC369" s="115"/>
      <c r="AD369" s="115"/>
      <c r="AE369" s="181"/>
      <c r="AF369" s="181"/>
      <c r="AG369" s="247">
        <v>42999</v>
      </c>
      <c r="AH369" s="181"/>
      <c r="AI369" s="132">
        <f t="shared" si="115"/>
        <v>686136</v>
      </c>
      <c r="AJ369" s="132">
        <f t="shared" si="116"/>
        <v>686136</v>
      </c>
      <c r="AK369" s="132">
        <f t="shared" si="117"/>
        <v>0</v>
      </c>
      <c r="AL369" s="181"/>
      <c r="AM369" s="115" t="s">
        <v>974</v>
      </c>
      <c r="AN369" s="246">
        <v>44846</v>
      </c>
      <c r="AO369" s="259"/>
    </row>
    <row r="370" s="96" customFormat="1" customHeight="1" spans="1:41">
      <c r="A370" s="106" t="s">
        <v>1357</v>
      </c>
      <c r="B370" s="155" t="s">
        <v>1358</v>
      </c>
      <c r="C370" s="166" t="s">
        <v>1359</v>
      </c>
      <c r="D370" s="193" t="str">
        <f t="shared" si="101"/>
        <v>孙君芳41108219940605124X</v>
      </c>
      <c r="E370" s="155">
        <v>18137823633</v>
      </c>
      <c r="F370" s="115"/>
      <c r="G370" s="239">
        <v>6</v>
      </c>
      <c r="H370" s="115">
        <v>1</v>
      </c>
      <c r="I370" s="115">
        <v>21</v>
      </c>
      <c r="J370" s="115">
        <v>2108</v>
      </c>
      <c r="K370" s="115">
        <v>109.13</v>
      </c>
      <c r="L370" s="115">
        <v>13100</v>
      </c>
      <c r="M370" s="115"/>
      <c r="N370" s="115"/>
      <c r="O370" s="431">
        <v>13000</v>
      </c>
      <c r="P370" s="445">
        <v>1418690</v>
      </c>
      <c r="Q370" s="445" t="s">
        <v>66</v>
      </c>
      <c r="R370" s="115">
        <v>851800</v>
      </c>
      <c r="S370" s="115"/>
      <c r="T370" s="445">
        <v>566890</v>
      </c>
      <c r="U370" s="115"/>
      <c r="V370" s="115"/>
      <c r="W370" s="115"/>
      <c r="X370" s="115"/>
      <c r="Y370" s="115"/>
      <c r="Z370" s="115"/>
      <c r="AA370" s="246"/>
      <c r="AB370" s="115"/>
      <c r="AC370" s="115"/>
      <c r="AD370" s="115"/>
      <c r="AE370" s="181"/>
      <c r="AF370" s="181"/>
      <c r="AG370" s="247">
        <v>42801</v>
      </c>
      <c r="AH370" s="181"/>
      <c r="AI370" s="132">
        <f t="shared" ref="AI370:AI395" si="118">R370+V370+W370+X370+AA370+AB370+AC370+AD370</f>
        <v>851800</v>
      </c>
      <c r="AJ370" s="132">
        <f t="shared" ref="AJ370:AJ395" si="119">R370+W370+V370+X370+AA370</f>
        <v>851800</v>
      </c>
      <c r="AK370" s="132">
        <f t="shared" ref="AK370:AK395" si="120">AI370-AJ370</f>
        <v>0</v>
      </c>
      <c r="AL370" s="181"/>
      <c r="AM370" s="115" t="s">
        <v>974</v>
      </c>
      <c r="AN370" s="246">
        <v>44846</v>
      </c>
      <c r="AO370" s="259"/>
    </row>
    <row r="371" s="96" customFormat="1" customHeight="1" spans="1:41">
      <c r="A371" s="106" t="s">
        <v>1360</v>
      </c>
      <c r="B371" s="107" t="s">
        <v>1361</v>
      </c>
      <c r="C371" s="166" t="s">
        <v>1362</v>
      </c>
      <c r="D371" s="193" t="str">
        <f t="shared" si="101"/>
        <v>陈凯丽411425199412075760</v>
      </c>
      <c r="E371" s="166" t="s">
        <v>1363</v>
      </c>
      <c r="F371" s="156"/>
      <c r="G371" s="115">
        <v>3</v>
      </c>
      <c r="H371" s="115">
        <v>11</v>
      </c>
      <c r="I371" s="115"/>
      <c r="J371" s="115">
        <v>1124</v>
      </c>
      <c r="K371" s="115">
        <v>58.01</v>
      </c>
      <c r="L371" s="115">
        <v>20000</v>
      </c>
      <c r="M371" s="115"/>
      <c r="N371" s="115"/>
      <c r="O371" s="431">
        <v>14906.57</v>
      </c>
      <c r="P371" s="445">
        <v>864730</v>
      </c>
      <c r="Q371" s="445" t="s">
        <v>66</v>
      </c>
      <c r="R371" s="449">
        <v>434730</v>
      </c>
      <c r="S371" s="449"/>
      <c r="T371" s="293">
        <v>430000</v>
      </c>
      <c r="U371" s="293"/>
      <c r="V371" s="239"/>
      <c r="W371" s="293">
        <v>3770</v>
      </c>
      <c r="X371" s="293">
        <v>550</v>
      </c>
      <c r="Y371" s="293"/>
      <c r="Z371" s="115" t="s">
        <v>48</v>
      </c>
      <c r="AA371" s="246"/>
      <c r="AB371" s="115"/>
      <c r="AC371" s="115"/>
      <c r="AD371" s="115"/>
      <c r="AE371" s="181"/>
      <c r="AF371" s="181"/>
      <c r="AG371" s="247">
        <v>43280</v>
      </c>
      <c r="AH371" s="181">
        <f>AI371-120000</f>
        <v>319050</v>
      </c>
      <c r="AI371" s="132">
        <f t="shared" si="118"/>
        <v>439050</v>
      </c>
      <c r="AJ371" s="132">
        <f t="shared" si="119"/>
        <v>439050</v>
      </c>
      <c r="AK371" s="132">
        <f t="shared" si="120"/>
        <v>0</v>
      </c>
      <c r="AL371" s="181"/>
      <c r="AM371" s="115" t="s">
        <v>974</v>
      </c>
      <c r="AN371" s="246">
        <v>44846</v>
      </c>
      <c r="AO371" s="259"/>
    </row>
    <row r="372" s="96" customFormat="1" customHeight="1" spans="1:41">
      <c r="A372" s="106" t="s">
        <v>1364</v>
      </c>
      <c r="B372" s="106" t="s">
        <v>1365</v>
      </c>
      <c r="C372" s="444" t="s">
        <v>1366</v>
      </c>
      <c r="D372" s="193" t="str">
        <f t="shared" si="101"/>
        <v>杨毅410102199106070011</v>
      </c>
      <c r="E372" s="444" t="s">
        <v>1367</v>
      </c>
      <c r="F372" s="119" t="s">
        <v>1368</v>
      </c>
      <c r="G372" s="106">
        <v>11</v>
      </c>
      <c r="H372" s="106">
        <v>3</v>
      </c>
      <c r="I372" s="106">
        <v>15</v>
      </c>
      <c r="J372" s="106">
        <v>1501</v>
      </c>
      <c r="K372" s="106">
        <v>149.28</v>
      </c>
      <c r="L372" s="106">
        <v>17900</v>
      </c>
      <c r="M372" s="106"/>
      <c r="N372" s="106"/>
      <c r="O372" s="447">
        <v>14798.3</v>
      </c>
      <c r="P372" s="106">
        <v>2209090</v>
      </c>
      <c r="Q372" s="106" t="s">
        <v>56</v>
      </c>
      <c r="R372" s="110">
        <v>2209090</v>
      </c>
      <c r="S372" s="106"/>
      <c r="T372" s="106" t="s">
        <v>47</v>
      </c>
      <c r="U372" s="181"/>
      <c r="V372" s="106"/>
      <c r="W372" s="106">
        <v>9703</v>
      </c>
      <c r="X372" s="106">
        <v>80</v>
      </c>
      <c r="Y372" s="106"/>
      <c r="Z372" s="115" t="s">
        <v>48</v>
      </c>
      <c r="AA372" s="246"/>
      <c r="AB372" s="115"/>
      <c r="AC372" s="115"/>
      <c r="AD372" s="115"/>
      <c r="AE372" s="181"/>
      <c r="AF372" s="181"/>
      <c r="AG372" s="247">
        <v>43976</v>
      </c>
      <c r="AH372" s="181"/>
      <c r="AI372" s="132">
        <f t="shared" si="118"/>
        <v>2218873</v>
      </c>
      <c r="AJ372" s="132">
        <f t="shared" si="119"/>
        <v>2218873</v>
      </c>
      <c r="AK372" s="132">
        <f t="shared" si="120"/>
        <v>0</v>
      </c>
      <c r="AL372" s="181"/>
      <c r="AM372" s="115" t="s">
        <v>974</v>
      </c>
      <c r="AN372" s="246">
        <v>44846</v>
      </c>
      <c r="AO372" s="259"/>
    </row>
    <row r="373" s="96" customFormat="1" customHeight="1" spans="1:41">
      <c r="A373" s="106" t="s">
        <v>1369</v>
      </c>
      <c r="B373" s="107" t="s">
        <v>1370</v>
      </c>
      <c r="C373" s="166" t="s">
        <v>1371</v>
      </c>
      <c r="D373" s="193" t="str">
        <f t="shared" si="101"/>
        <v>海冰410102198508260163</v>
      </c>
      <c r="E373" s="155">
        <v>13213233070</v>
      </c>
      <c r="F373" s="115"/>
      <c r="G373" s="115">
        <v>3</v>
      </c>
      <c r="H373" s="115">
        <v>13</v>
      </c>
      <c r="I373" s="115"/>
      <c r="J373" s="115">
        <v>1320</v>
      </c>
      <c r="K373" s="115">
        <v>73.25</v>
      </c>
      <c r="L373" s="115">
        <v>20000</v>
      </c>
      <c r="M373" s="115"/>
      <c r="N373" s="115"/>
      <c r="O373" s="431">
        <v>8473.42</v>
      </c>
      <c r="P373" s="445">
        <v>620678</v>
      </c>
      <c r="Q373" s="445" t="s">
        <v>66</v>
      </c>
      <c r="R373" s="449">
        <v>310678</v>
      </c>
      <c r="S373" s="449"/>
      <c r="T373" s="293" t="s">
        <v>47</v>
      </c>
      <c r="U373" s="293"/>
      <c r="V373" s="239">
        <v>310000</v>
      </c>
      <c r="W373" s="293">
        <v>4761</v>
      </c>
      <c r="X373" s="293">
        <v>550</v>
      </c>
      <c r="Y373" s="293"/>
      <c r="Z373" s="115" t="s">
        <v>48</v>
      </c>
      <c r="AA373" s="246"/>
      <c r="AB373" s="115">
        <f>3000+1581</f>
        <v>4581</v>
      </c>
      <c r="AC373" s="115"/>
      <c r="AD373" s="115"/>
      <c r="AE373" s="181"/>
      <c r="AF373" s="181"/>
      <c r="AG373" s="247">
        <v>43095</v>
      </c>
      <c r="AH373" s="181">
        <f>X373+W373+R373</f>
        <v>315989</v>
      </c>
      <c r="AI373" s="132">
        <f t="shared" si="118"/>
        <v>630570</v>
      </c>
      <c r="AJ373" s="132">
        <f t="shared" si="119"/>
        <v>625989</v>
      </c>
      <c r="AK373" s="132">
        <f t="shared" si="120"/>
        <v>4581</v>
      </c>
      <c r="AL373" s="181"/>
      <c r="AM373" s="115" t="s">
        <v>974</v>
      </c>
      <c r="AN373" s="246">
        <v>44846</v>
      </c>
      <c r="AO373" s="259"/>
    </row>
    <row r="374" s="96" customFormat="1" customHeight="1" spans="1:41">
      <c r="A374" s="106" t="s">
        <v>1372</v>
      </c>
      <c r="B374" s="115" t="s">
        <v>1373</v>
      </c>
      <c r="C374" s="193" t="s">
        <v>1374</v>
      </c>
      <c r="D374" s="193" t="str">
        <f t="shared" si="101"/>
        <v>熊明珠411523198712166021</v>
      </c>
      <c r="E374" s="115">
        <v>13073798710</v>
      </c>
      <c r="F374" s="291"/>
      <c r="G374" s="115">
        <v>11</v>
      </c>
      <c r="H374" s="115">
        <v>3</v>
      </c>
      <c r="I374" s="115">
        <v>9</v>
      </c>
      <c r="J374" s="115">
        <v>903</v>
      </c>
      <c r="K374" s="115">
        <v>151.44</v>
      </c>
      <c r="L374" s="115">
        <v>8598</v>
      </c>
      <c r="M374" s="181"/>
      <c r="N374" s="181"/>
      <c r="O374" s="431">
        <v>8498.399634</v>
      </c>
      <c r="P374" s="115">
        <v>1286998</v>
      </c>
      <c r="Q374" s="115" t="s">
        <v>66</v>
      </c>
      <c r="R374" s="115">
        <v>391020</v>
      </c>
      <c r="S374" s="181"/>
      <c r="T374" s="115">
        <v>600000</v>
      </c>
      <c r="U374" s="97"/>
      <c r="V374" s="133"/>
      <c r="W374" s="133"/>
      <c r="X374" s="133"/>
      <c r="Y374" s="115"/>
      <c r="Z374" s="115"/>
      <c r="AA374" s="106"/>
      <c r="AB374" s="106">
        <v>3841</v>
      </c>
      <c r="AC374" s="115">
        <v>13183.2</v>
      </c>
      <c r="AD374" s="115"/>
      <c r="AE374" s="115"/>
      <c r="AF374" s="291"/>
      <c r="AG374" s="246">
        <v>43946</v>
      </c>
      <c r="AH374" s="133"/>
      <c r="AI374" s="132">
        <f t="shared" si="118"/>
        <v>408044.2</v>
      </c>
      <c r="AJ374" s="132">
        <f t="shared" si="119"/>
        <v>391020</v>
      </c>
      <c r="AK374" s="132">
        <f t="shared" si="120"/>
        <v>17024.2</v>
      </c>
      <c r="AL374" s="176" t="s">
        <v>1375</v>
      </c>
      <c r="AM374" s="133" t="s">
        <v>886</v>
      </c>
      <c r="AN374" s="246">
        <v>44846</v>
      </c>
      <c r="AO374" s="259"/>
    </row>
    <row r="375" s="96" customFormat="1" customHeight="1" spans="1:41">
      <c r="A375" s="106" t="s">
        <v>1376</v>
      </c>
      <c r="B375" s="115" t="s">
        <v>1377</v>
      </c>
      <c r="C375" s="193" t="s">
        <v>1378</v>
      </c>
      <c r="D375" s="193" t="str">
        <f t="shared" si="101"/>
        <v>王宇宁410105197101079025</v>
      </c>
      <c r="E375" s="115">
        <v>13938509070</v>
      </c>
      <c r="F375" s="291"/>
      <c r="G375" s="115">
        <v>3</v>
      </c>
      <c r="H375" s="115">
        <v>13</v>
      </c>
      <c r="I375" s="115"/>
      <c r="J375" s="115">
        <v>1318</v>
      </c>
      <c r="K375" s="115">
        <v>69.11</v>
      </c>
      <c r="L375" s="115">
        <v>20000</v>
      </c>
      <c r="M375" s="181"/>
      <c r="N375" s="181"/>
      <c r="O375" s="431">
        <v>8699.59</v>
      </c>
      <c r="P375" s="115">
        <v>601229</v>
      </c>
      <c r="Q375" s="115" t="s">
        <v>56</v>
      </c>
      <c r="R375" s="115">
        <v>601229</v>
      </c>
      <c r="S375" s="115"/>
      <c r="T375" s="115" t="s">
        <v>47</v>
      </c>
      <c r="U375" s="115"/>
      <c r="V375" s="133"/>
      <c r="W375" s="133">
        <v>4492</v>
      </c>
      <c r="X375" s="133">
        <v>550</v>
      </c>
      <c r="Y375" s="115"/>
      <c r="Z375" s="115" t="s">
        <v>48</v>
      </c>
      <c r="AA375" s="133"/>
      <c r="AB375" s="115"/>
      <c r="AC375" s="115"/>
      <c r="AD375" s="115"/>
      <c r="AE375" s="115"/>
      <c r="AF375" s="291"/>
      <c r="AG375" s="246">
        <v>43092</v>
      </c>
      <c r="AH375" s="133">
        <f>AJ375</f>
        <v>606271</v>
      </c>
      <c r="AI375" s="289">
        <f t="shared" si="118"/>
        <v>606271</v>
      </c>
      <c r="AJ375" s="132">
        <f t="shared" si="119"/>
        <v>606271</v>
      </c>
      <c r="AK375" s="289">
        <f t="shared" si="120"/>
        <v>0</v>
      </c>
      <c r="AL375" s="176"/>
      <c r="AM375" s="133" t="s">
        <v>886</v>
      </c>
      <c r="AN375" s="246">
        <v>44846</v>
      </c>
      <c r="AO375" s="259"/>
    </row>
    <row r="376" s="96" customFormat="1" customHeight="1" spans="1:41">
      <c r="A376" s="106" t="s">
        <v>1379</v>
      </c>
      <c r="B376" s="106" t="s">
        <v>1380</v>
      </c>
      <c r="C376" s="444" t="s">
        <v>1381</v>
      </c>
      <c r="D376" s="193" t="str">
        <f t="shared" si="101"/>
        <v>段磊410105197410242797</v>
      </c>
      <c r="E376" s="444" t="s">
        <v>1382</v>
      </c>
      <c r="F376" s="119"/>
      <c r="G376" s="106">
        <v>11</v>
      </c>
      <c r="H376" s="106">
        <v>3</v>
      </c>
      <c r="I376" s="106">
        <v>30</v>
      </c>
      <c r="J376" s="106">
        <v>3001</v>
      </c>
      <c r="K376" s="106">
        <v>149.28</v>
      </c>
      <c r="L376" s="106">
        <v>17900</v>
      </c>
      <c r="M376" s="106"/>
      <c r="N376" s="106"/>
      <c r="O376" s="447">
        <v>9010</v>
      </c>
      <c r="P376" s="106">
        <v>1345013</v>
      </c>
      <c r="Q376" s="106" t="s">
        <v>56</v>
      </c>
      <c r="R376" s="110">
        <v>1345013</v>
      </c>
      <c r="S376" s="106"/>
      <c r="T376" s="106" t="s">
        <v>47</v>
      </c>
      <c r="U376" s="181"/>
      <c r="V376" s="106"/>
      <c r="W376" s="106">
        <v>9703</v>
      </c>
      <c r="X376" s="106">
        <v>80</v>
      </c>
      <c r="Y376" s="106"/>
      <c r="Z376" s="115" t="s">
        <v>48</v>
      </c>
      <c r="AA376" s="246"/>
      <c r="AB376" s="115"/>
      <c r="AC376" s="115"/>
      <c r="AD376" s="115"/>
      <c r="AE376" s="181"/>
      <c r="AF376" s="181"/>
      <c r="AG376" s="247">
        <v>43093</v>
      </c>
      <c r="AH376" s="181"/>
      <c r="AI376" s="289">
        <f t="shared" si="118"/>
        <v>1354796</v>
      </c>
      <c r="AJ376" s="132">
        <f t="shared" si="119"/>
        <v>1354796</v>
      </c>
      <c r="AK376" s="289">
        <f t="shared" si="120"/>
        <v>0</v>
      </c>
      <c r="AL376" s="181"/>
      <c r="AM376" s="115" t="s">
        <v>974</v>
      </c>
      <c r="AN376" s="246">
        <v>44846</v>
      </c>
      <c r="AO376" s="259"/>
    </row>
    <row r="377" s="96" customFormat="1" customHeight="1" spans="1:41">
      <c r="A377" s="106" t="s">
        <v>1383</v>
      </c>
      <c r="B377" s="115" t="s">
        <v>1384</v>
      </c>
      <c r="C377" s="193" t="s">
        <v>1385</v>
      </c>
      <c r="D377" s="193" t="str">
        <f t="shared" si="101"/>
        <v>李亚囡412701198101102022</v>
      </c>
      <c r="E377" s="115">
        <v>13839418861</v>
      </c>
      <c r="F377" s="291"/>
      <c r="G377" s="115">
        <v>3</v>
      </c>
      <c r="H377" s="115">
        <v>7</v>
      </c>
      <c r="I377" s="115"/>
      <c r="J377" s="115">
        <v>730</v>
      </c>
      <c r="K377" s="115">
        <v>57.33</v>
      </c>
      <c r="L377" s="115">
        <v>20000</v>
      </c>
      <c r="M377" s="181"/>
      <c r="N377" s="181"/>
      <c r="O377" s="431">
        <v>9802.86</v>
      </c>
      <c r="P377" s="115">
        <v>561998</v>
      </c>
      <c r="Q377" s="115" t="s">
        <v>66</v>
      </c>
      <c r="R377" s="115">
        <v>281998</v>
      </c>
      <c r="S377" s="115"/>
      <c r="T377" s="115">
        <v>280000</v>
      </c>
      <c r="U377" s="115"/>
      <c r="V377" s="133"/>
      <c r="W377" s="133">
        <v>3726</v>
      </c>
      <c r="X377" s="133">
        <v>550</v>
      </c>
      <c r="Y377" s="115"/>
      <c r="Z377" s="115"/>
      <c r="AA377" s="133"/>
      <c r="AB377" s="115">
        <f>3000+1578</f>
        <v>4578</v>
      </c>
      <c r="AC377" s="115"/>
      <c r="AD377" s="115"/>
      <c r="AE377" s="115"/>
      <c r="AF377" s="291"/>
      <c r="AG377" s="246">
        <v>43076</v>
      </c>
      <c r="AH377" s="133">
        <f>AJ377</f>
        <v>286274</v>
      </c>
      <c r="AI377" s="289">
        <f t="shared" si="118"/>
        <v>290852</v>
      </c>
      <c r="AJ377" s="132">
        <f t="shared" si="119"/>
        <v>286274</v>
      </c>
      <c r="AK377" s="289">
        <f t="shared" si="120"/>
        <v>4578</v>
      </c>
      <c r="AL377" s="176"/>
      <c r="AM377" s="133" t="s">
        <v>886</v>
      </c>
      <c r="AN377" s="246">
        <v>44846</v>
      </c>
      <c r="AO377" s="259"/>
    </row>
    <row r="378" s="96" customFormat="1" customHeight="1" spans="1:41">
      <c r="A378" s="106" t="s">
        <v>1386</v>
      </c>
      <c r="B378" s="115" t="s">
        <v>1384</v>
      </c>
      <c r="C378" s="193" t="s">
        <v>1385</v>
      </c>
      <c r="D378" s="193" t="str">
        <f t="shared" si="101"/>
        <v>李亚囡412701198101102022</v>
      </c>
      <c r="E378" s="115">
        <v>13839418861</v>
      </c>
      <c r="F378" s="291"/>
      <c r="G378" s="115">
        <v>3</v>
      </c>
      <c r="H378" s="115">
        <v>7</v>
      </c>
      <c r="I378" s="115"/>
      <c r="J378" s="115">
        <v>729</v>
      </c>
      <c r="K378" s="115">
        <v>57.45</v>
      </c>
      <c r="L378" s="115">
        <v>20000</v>
      </c>
      <c r="M378" s="181"/>
      <c r="N378" s="181"/>
      <c r="O378" s="431">
        <v>9803.52</v>
      </c>
      <c r="P378" s="115">
        <v>563212</v>
      </c>
      <c r="Q378" s="115" t="s">
        <v>66</v>
      </c>
      <c r="R378" s="115">
        <v>283212</v>
      </c>
      <c r="S378" s="115"/>
      <c r="T378" s="115">
        <v>280000</v>
      </c>
      <c r="U378" s="115"/>
      <c r="V378" s="133"/>
      <c r="W378" s="133">
        <v>3734</v>
      </c>
      <c r="X378" s="133">
        <v>550</v>
      </c>
      <c r="Y378" s="115"/>
      <c r="Z378" s="115"/>
      <c r="AA378" s="133"/>
      <c r="AB378" s="115">
        <f>3000+1578</f>
        <v>4578</v>
      </c>
      <c r="AC378" s="115"/>
      <c r="AD378" s="115"/>
      <c r="AE378" s="115"/>
      <c r="AF378" s="291"/>
      <c r="AG378" s="246">
        <v>43076</v>
      </c>
      <c r="AH378" s="133">
        <f>AJ378</f>
        <v>287496</v>
      </c>
      <c r="AI378" s="289">
        <f t="shared" si="118"/>
        <v>292074</v>
      </c>
      <c r="AJ378" s="132">
        <f t="shared" si="119"/>
        <v>287496</v>
      </c>
      <c r="AK378" s="289">
        <f t="shared" si="120"/>
        <v>4578</v>
      </c>
      <c r="AL378" s="176"/>
      <c r="AM378" s="133" t="s">
        <v>886</v>
      </c>
      <c r="AN378" s="246">
        <v>44846</v>
      </c>
      <c r="AO378" s="259"/>
    </row>
    <row r="379" s="96" customFormat="1" customHeight="1" spans="1:41">
      <c r="A379" s="106" t="s">
        <v>1387</v>
      </c>
      <c r="B379" s="115" t="s">
        <v>1388</v>
      </c>
      <c r="C379" s="193" t="s">
        <v>1389</v>
      </c>
      <c r="D379" s="193" t="str">
        <f t="shared" si="101"/>
        <v>李浩嘉412702199606140092</v>
      </c>
      <c r="E379" s="115" t="s">
        <v>1390</v>
      </c>
      <c r="F379" s="291"/>
      <c r="G379" s="115">
        <v>9</v>
      </c>
      <c r="H379" s="115">
        <v>3</v>
      </c>
      <c r="I379" s="115">
        <v>13</v>
      </c>
      <c r="J379" s="115">
        <v>1304</v>
      </c>
      <c r="K379" s="115">
        <v>94.65</v>
      </c>
      <c r="L379" s="115">
        <v>11100</v>
      </c>
      <c r="M379" s="181"/>
      <c r="N379" s="181"/>
      <c r="O379" s="431">
        <v>11000</v>
      </c>
      <c r="P379" s="115">
        <v>1041150</v>
      </c>
      <c r="Q379" s="115" t="s">
        <v>66</v>
      </c>
      <c r="R379" s="115">
        <v>551150</v>
      </c>
      <c r="S379" s="115"/>
      <c r="T379" s="115" t="s">
        <v>47</v>
      </c>
      <c r="U379" s="115"/>
      <c r="V379" s="133">
        <v>490000</v>
      </c>
      <c r="W379" s="133">
        <v>6152</v>
      </c>
      <c r="X379" s="133">
        <v>80</v>
      </c>
      <c r="Y379" s="115"/>
      <c r="Z379" s="115" t="s">
        <v>48</v>
      </c>
      <c r="AA379" s="133"/>
      <c r="AB379" s="115"/>
      <c r="AC379" s="115"/>
      <c r="AD379" s="115"/>
      <c r="AE379" s="115"/>
      <c r="AF379" s="291"/>
      <c r="AG379" s="246">
        <v>43091</v>
      </c>
      <c r="AH379" s="133">
        <f>W379+X379</f>
        <v>6232</v>
      </c>
      <c r="AI379" s="289">
        <f t="shared" si="118"/>
        <v>1047382</v>
      </c>
      <c r="AJ379" s="132">
        <f t="shared" si="119"/>
        <v>1047382</v>
      </c>
      <c r="AK379" s="289">
        <f t="shared" si="120"/>
        <v>0</v>
      </c>
      <c r="AL379" s="176"/>
      <c r="AM379" s="133" t="s">
        <v>886</v>
      </c>
      <c r="AN379" s="246">
        <v>44846</v>
      </c>
      <c r="AO379" s="259"/>
    </row>
    <row r="380" s="96" customFormat="1" customHeight="1" spans="1:41">
      <c r="A380" s="106" t="s">
        <v>1391</v>
      </c>
      <c r="B380" s="115" t="s">
        <v>1392</v>
      </c>
      <c r="C380" s="546" t="s">
        <v>1393</v>
      </c>
      <c r="D380" s="193" t="str">
        <f t="shared" si="101"/>
        <v>李美桦412702200011090108</v>
      </c>
      <c r="E380" s="115">
        <v>18530931804</v>
      </c>
      <c r="F380" s="291" t="s">
        <v>1394</v>
      </c>
      <c r="G380" s="115">
        <v>11</v>
      </c>
      <c r="H380" s="115">
        <v>3</v>
      </c>
      <c r="I380" s="115">
        <v>9</v>
      </c>
      <c r="J380" s="115">
        <v>902</v>
      </c>
      <c r="K380" s="115">
        <v>95.81</v>
      </c>
      <c r="L380" s="115">
        <v>19920</v>
      </c>
      <c r="M380" s="181"/>
      <c r="N380" s="181"/>
      <c r="O380" s="431">
        <v>15000</v>
      </c>
      <c r="P380" s="115">
        <v>1437150</v>
      </c>
      <c r="Q380" s="115" t="s">
        <v>66</v>
      </c>
      <c r="R380" s="115">
        <f>577150+10</f>
        <v>577160</v>
      </c>
      <c r="S380" s="115"/>
      <c r="T380" s="115" t="s">
        <v>47</v>
      </c>
      <c r="U380" s="115"/>
      <c r="V380" s="133">
        <v>860000</v>
      </c>
      <c r="W380" s="133">
        <v>6227</v>
      </c>
      <c r="X380" s="133">
        <v>80</v>
      </c>
      <c r="Y380" s="115"/>
      <c r="Z380" s="115" t="s">
        <v>48</v>
      </c>
      <c r="AA380" s="133"/>
      <c r="AB380" s="115"/>
      <c r="AC380" s="115"/>
      <c r="AD380" s="115"/>
      <c r="AE380" s="115"/>
      <c r="AF380" s="291"/>
      <c r="AG380" s="246">
        <v>44049</v>
      </c>
      <c r="AH380" s="133"/>
      <c r="AI380" s="289">
        <f t="shared" si="118"/>
        <v>1443467</v>
      </c>
      <c r="AJ380" s="132">
        <f t="shared" si="119"/>
        <v>1443467</v>
      </c>
      <c r="AK380" s="289">
        <f t="shared" si="120"/>
        <v>0</v>
      </c>
      <c r="AL380" s="176"/>
      <c r="AM380" s="133" t="s">
        <v>886</v>
      </c>
      <c r="AN380" s="246">
        <v>44846</v>
      </c>
      <c r="AO380" s="259"/>
    </row>
    <row r="381" s="96" customFormat="1" customHeight="1" spans="1:41">
      <c r="A381" s="106" t="s">
        <v>1395</v>
      </c>
      <c r="B381" s="115" t="s">
        <v>1396</v>
      </c>
      <c r="C381" s="156" t="s">
        <v>1397</v>
      </c>
      <c r="D381" s="193" t="str">
        <f t="shared" si="101"/>
        <v>朱聚宝412721198509040078</v>
      </c>
      <c r="E381" s="155" t="s">
        <v>1398</v>
      </c>
      <c r="F381" s="115"/>
      <c r="G381" s="239">
        <v>9</v>
      </c>
      <c r="H381" s="115">
        <v>3</v>
      </c>
      <c r="I381" s="115">
        <v>27</v>
      </c>
      <c r="J381" s="115">
        <v>2701</v>
      </c>
      <c r="K381" s="115">
        <v>93.4</v>
      </c>
      <c r="L381" s="115">
        <v>11032</v>
      </c>
      <c r="M381" s="115"/>
      <c r="N381" s="115"/>
      <c r="O381" s="431">
        <v>10932</v>
      </c>
      <c r="P381" s="445">
        <v>1021048.60148778</v>
      </c>
      <c r="Q381" s="445" t="s">
        <v>66</v>
      </c>
      <c r="R381" s="445">
        <v>246960.8</v>
      </c>
      <c r="S381" s="445"/>
      <c r="T381" s="445">
        <v>774087.80148778</v>
      </c>
      <c r="U381" s="445"/>
      <c r="V381" s="115"/>
      <c r="W381" s="115"/>
      <c r="X381" s="115"/>
      <c r="Y381" s="115"/>
      <c r="Z381" s="115"/>
      <c r="AA381" s="246"/>
      <c r="AB381" s="115"/>
      <c r="AC381" s="115"/>
      <c r="AD381" s="115"/>
      <c r="AE381" s="181"/>
      <c r="AF381" s="181"/>
      <c r="AG381" s="247">
        <v>42068</v>
      </c>
      <c r="AH381" s="181">
        <f>AI381</f>
        <v>246960.8</v>
      </c>
      <c r="AI381" s="289">
        <f t="shared" si="118"/>
        <v>246960.8</v>
      </c>
      <c r="AJ381" s="132">
        <f t="shared" si="119"/>
        <v>246960.8</v>
      </c>
      <c r="AK381" s="289">
        <f t="shared" si="120"/>
        <v>0</v>
      </c>
      <c r="AL381" s="181"/>
      <c r="AM381" s="115" t="s">
        <v>974</v>
      </c>
      <c r="AN381" s="246">
        <v>44846</v>
      </c>
      <c r="AO381" s="259"/>
    </row>
    <row r="382" s="96" customFormat="1" customHeight="1" spans="1:41">
      <c r="A382" s="106" t="s">
        <v>1399</v>
      </c>
      <c r="B382" s="115" t="s">
        <v>1400</v>
      </c>
      <c r="C382" s="193" t="s">
        <v>1401</v>
      </c>
      <c r="D382" s="193" t="str">
        <f t="shared" si="101"/>
        <v> 杨淑云410122195112020042</v>
      </c>
      <c r="E382" s="115">
        <v>13676985525</v>
      </c>
      <c r="F382" s="291"/>
      <c r="G382" s="115">
        <v>2</v>
      </c>
      <c r="H382" s="115">
        <v>7</v>
      </c>
      <c r="I382" s="115"/>
      <c r="J382" s="115">
        <v>727</v>
      </c>
      <c r="K382" s="115">
        <v>57.34</v>
      </c>
      <c r="L382" s="115">
        <v>20000</v>
      </c>
      <c r="M382" s="181"/>
      <c r="N382" s="181"/>
      <c r="O382" s="431">
        <v>8844.99</v>
      </c>
      <c r="P382" s="115">
        <v>507172</v>
      </c>
      <c r="Q382" s="115" t="s">
        <v>66</v>
      </c>
      <c r="R382" s="115">
        <v>393779</v>
      </c>
      <c r="S382" s="115"/>
      <c r="T382" s="115">
        <v>113393</v>
      </c>
      <c r="U382" s="115"/>
      <c r="V382" s="133"/>
      <c r="W382" s="133"/>
      <c r="X382" s="133"/>
      <c r="Y382" s="115"/>
      <c r="Z382" s="115"/>
      <c r="AA382" s="133"/>
      <c r="AB382" s="115"/>
      <c r="AC382" s="115"/>
      <c r="AD382" s="115"/>
      <c r="AE382" s="115"/>
      <c r="AF382" s="291"/>
      <c r="AG382" s="246">
        <v>42388</v>
      </c>
      <c r="AH382" s="133">
        <f>AJ382</f>
        <v>393779</v>
      </c>
      <c r="AI382" s="289">
        <f t="shared" si="118"/>
        <v>393779</v>
      </c>
      <c r="AJ382" s="132">
        <f t="shared" si="119"/>
        <v>393779</v>
      </c>
      <c r="AK382" s="289">
        <f t="shared" si="120"/>
        <v>0</v>
      </c>
      <c r="AL382" s="176"/>
      <c r="AM382" s="133" t="s">
        <v>886</v>
      </c>
      <c r="AN382" s="246">
        <v>44846</v>
      </c>
      <c r="AO382" s="259"/>
    </row>
    <row r="383" s="96" customFormat="1" customHeight="1" spans="1:41">
      <c r="A383" s="106" t="s">
        <v>1402</v>
      </c>
      <c r="B383" s="115" t="s">
        <v>1403</v>
      </c>
      <c r="C383" s="193" t="s">
        <v>1404</v>
      </c>
      <c r="D383" s="193" t="str">
        <f t="shared" si="101"/>
        <v>孙牧迪412727198903113616</v>
      </c>
      <c r="E383" s="115" t="s">
        <v>1405</v>
      </c>
      <c r="F383" s="291"/>
      <c r="G383" s="115">
        <v>6</v>
      </c>
      <c r="H383" s="115">
        <v>1</v>
      </c>
      <c r="I383" s="115">
        <v>8</v>
      </c>
      <c r="J383" s="115">
        <v>806</v>
      </c>
      <c r="K383" s="115">
        <v>86.33</v>
      </c>
      <c r="L383" s="115">
        <v>19430</v>
      </c>
      <c r="M383" s="181"/>
      <c r="N383" s="181"/>
      <c r="O383" s="431">
        <v>19182.21</v>
      </c>
      <c r="P383" s="115">
        <v>1656000</v>
      </c>
      <c r="Q383" s="115" t="s">
        <v>66</v>
      </c>
      <c r="R383" s="115">
        <v>417000</v>
      </c>
      <c r="S383" s="115"/>
      <c r="T383" s="115">
        <v>1239000</v>
      </c>
      <c r="U383" s="115"/>
      <c r="V383" s="133"/>
      <c r="W383" s="133">
        <v>5611</v>
      </c>
      <c r="X383" s="133">
        <v>80</v>
      </c>
      <c r="Y383" s="115"/>
      <c r="Z383" s="115"/>
      <c r="AA383" s="133"/>
      <c r="AB383" s="115">
        <v>5000</v>
      </c>
      <c r="AC383" s="115"/>
      <c r="AD383" s="115"/>
      <c r="AE383" s="115"/>
      <c r="AF383" s="291"/>
      <c r="AG383" s="246">
        <v>43277</v>
      </c>
      <c r="AH383" s="133">
        <f>AJ383</f>
        <v>422691</v>
      </c>
      <c r="AI383" s="289">
        <f t="shared" si="118"/>
        <v>427691</v>
      </c>
      <c r="AJ383" s="132">
        <f t="shared" si="119"/>
        <v>422691</v>
      </c>
      <c r="AK383" s="289">
        <f t="shared" si="120"/>
        <v>5000</v>
      </c>
      <c r="AL383" s="176" t="s">
        <v>1406</v>
      </c>
      <c r="AM383" s="133" t="s">
        <v>886</v>
      </c>
      <c r="AN383" s="246">
        <v>44846</v>
      </c>
      <c r="AO383" s="259"/>
    </row>
    <row r="384" s="96" customFormat="1" customHeight="1" spans="1:41">
      <c r="A384" s="106" t="s">
        <v>1407</v>
      </c>
      <c r="B384" s="106" t="s">
        <v>1408</v>
      </c>
      <c r="C384" s="444" t="s">
        <v>1409</v>
      </c>
      <c r="D384" s="193" t="str">
        <f t="shared" si="101"/>
        <v>马杨宁610502199305240449</v>
      </c>
      <c r="E384" s="444" t="s">
        <v>1410</v>
      </c>
      <c r="F384" s="119"/>
      <c r="G384" s="106">
        <v>11</v>
      </c>
      <c r="H384" s="106">
        <v>3</v>
      </c>
      <c r="I384" s="106">
        <v>17</v>
      </c>
      <c r="J384" s="106">
        <v>1702</v>
      </c>
      <c r="K384" s="106">
        <v>95.81</v>
      </c>
      <c r="L384" s="106">
        <v>19970</v>
      </c>
      <c r="M384" s="106"/>
      <c r="N384" s="106"/>
      <c r="O384" s="447">
        <v>17000</v>
      </c>
      <c r="P384" s="106">
        <v>1628770</v>
      </c>
      <c r="Q384" s="106" t="s">
        <v>56</v>
      </c>
      <c r="R384" s="110">
        <v>1628770</v>
      </c>
      <c r="S384" s="106"/>
      <c r="T384" s="106" t="s">
        <v>47</v>
      </c>
      <c r="U384" s="181"/>
      <c r="V384" s="106"/>
      <c r="W384" s="106">
        <v>6227</v>
      </c>
      <c r="X384" s="106">
        <v>80</v>
      </c>
      <c r="Y384" s="106"/>
      <c r="Z384" s="115" t="s">
        <v>48</v>
      </c>
      <c r="AA384" s="246"/>
      <c r="AB384" s="115"/>
      <c r="AC384" s="115"/>
      <c r="AD384" s="115"/>
      <c r="AE384" s="181"/>
      <c r="AF384" s="181"/>
      <c r="AG384" s="247">
        <v>43281</v>
      </c>
      <c r="AH384" s="181">
        <f>AI384</f>
        <v>1635077</v>
      </c>
      <c r="AI384" s="289">
        <f t="shared" si="118"/>
        <v>1635077</v>
      </c>
      <c r="AJ384" s="132">
        <f t="shared" si="119"/>
        <v>1635077</v>
      </c>
      <c r="AK384" s="289">
        <f t="shared" si="120"/>
        <v>0</v>
      </c>
      <c r="AL384" s="181"/>
      <c r="AM384" s="115" t="s">
        <v>974</v>
      </c>
      <c r="AN384" s="246">
        <v>44846</v>
      </c>
      <c r="AO384" s="259"/>
    </row>
    <row r="385" s="96" customFormat="1" customHeight="1" spans="1:41">
      <c r="A385" s="106" t="s">
        <v>1411</v>
      </c>
      <c r="B385" s="115" t="s">
        <v>1412</v>
      </c>
      <c r="C385" s="156" t="s">
        <v>1413</v>
      </c>
      <c r="D385" s="193" t="str">
        <f t="shared" si="101"/>
        <v>马钰朝410183198903020037</v>
      </c>
      <c r="E385" s="155">
        <v>15981821911</v>
      </c>
      <c r="F385" s="115" t="s">
        <v>1414</v>
      </c>
      <c r="G385" s="239">
        <v>9</v>
      </c>
      <c r="H385" s="115">
        <v>3</v>
      </c>
      <c r="I385" s="115">
        <v>5</v>
      </c>
      <c r="J385" s="115">
        <v>504</v>
      </c>
      <c r="K385" s="115">
        <v>93.85</v>
      </c>
      <c r="L385" s="115">
        <v>17900</v>
      </c>
      <c r="M385" s="115"/>
      <c r="N385" s="115"/>
      <c r="O385" s="431">
        <v>14920</v>
      </c>
      <c r="P385" s="239">
        <v>1400242</v>
      </c>
      <c r="Q385" s="445" t="s">
        <v>66</v>
      </c>
      <c r="R385" s="445">
        <v>764242</v>
      </c>
      <c r="S385" s="445"/>
      <c r="T385" s="445" t="s">
        <v>47</v>
      </c>
      <c r="U385" s="463"/>
      <c r="V385" s="445">
        <v>636000</v>
      </c>
      <c r="W385" s="115">
        <v>6100</v>
      </c>
      <c r="X385" s="115">
        <v>80</v>
      </c>
      <c r="Y385" s="115"/>
      <c r="Z385" s="115" t="s">
        <v>48</v>
      </c>
      <c r="AA385" s="246"/>
      <c r="AB385" s="115">
        <f>1444</f>
        <v>1444</v>
      </c>
      <c r="AC385" s="115"/>
      <c r="AD385" s="115"/>
      <c r="AE385" s="181"/>
      <c r="AF385" s="181"/>
      <c r="AG385" s="247">
        <v>43354</v>
      </c>
      <c r="AH385" s="181"/>
      <c r="AI385" s="289">
        <f t="shared" si="118"/>
        <v>1407866</v>
      </c>
      <c r="AJ385" s="132">
        <f t="shared" si="119"/>
        <v>1406422</v>
      </c>
      <c r="AK385" s="289">
        <f t="shared" si="120"/>
        <v>1444</v>
      </c>
      <c r="AL385" s="181"/>
      <c r="AM385" s="115" t="s">
        <v>974</v>
      </c>
      <c r="AN385" s="246">
        <v>44846</v>
      </c>
      <c r="AO385" s="259"/>
    </row>
    <row r="386" s="96" customFormat="1" customHeight="1" spans="1:41">
      <c r="A386" s="106" t="s">
        <v>1415</v>
      </c>
      <c r="B386" s="115" t="s">
        <v>1416</v>
      </c>
      <c r="C386" s="546" t="s">
        <v>1417</v>
      </c>
      <c r="D386" s="193" t="str">
        <f t="shared" si="101"/>
        <v>牛丽华410105198410270223</v>
      </c>
      <c r="E386" s="115">
        <v>13949015207</v>
      </c>
      <c r="F386" s="291" t="s">
        <v>1418</v>
      </c>
      <c r="G386" s="115">
        <v>10</v>
      </c>
      <c r="H386" s="115">
        <v>2</v>
      </c>
      <c r="I386" s="115">
        <v>10</v>
      </c>
      <c r="J386" s="115">
        <v>1006</v>
      </c>
      <c r="K386" s="115">
        <v>99.52</v>
      </c>
      <c r="L386" s="115">
        <v>8100</v>
      </c>
      <c r="M386" s="181"/>
      <c r="N386" s="181"/>
      <c r="O386" s="431">
        <v>8000</v>
      </c>
      <c r="P386" s="115">
        <v>796160</v>
      </c>
      <c r="Q386" s="115" t="s">
        <v>66</v>
      </c>
      <c r="R386" s="115">
        <v>606160</v>
      </c>
      <c r="S386" s="115"/>
      <c r="T386" s="115">
        <v>190000</v>
      </c>
      <c r="U386" s="115"/>
      <c r="V386" s="133"/>
      <c r="W386" s="133">
        <v>6468</v>
      </c>
      <c r="X386" s="133">
        <v>80</v>
      </c>
      <c r="Y386" s="115"/>
      <c r="Z386" s="115" t="s">
        <v>48</v>
      </c>
      <c r="AA386" s="133"/>
      <c r="AB386" s="115"/>
      <c r="AC386" s="115"/>
      <c r="AD386" s="115"/>
      <c r="AE386" s="115"/>
      <c r="AF386" s="291"/>
      <c r="AG386" s="246" t="s">
        <v>1419</v>
      </c>
      <c r="AH386" s="133"/>
      <c r="AI386" s="289">
        <f t="shared" si="118"/>
        <v>612708</v>
      </c>
      <c r="AJ386" s="132">
        <f t="shared" si="119"/>
        <v>612708</v>
      </c>
      <c r="AK386" s="289">
        <f t="shared" si="120"/>
        <v>0</v>
      </c>
      <c r="AL386" s="176" t="s">
        <v>1420</v>
      </c>
      <c r="AM386" s="133" t="s">
        <v>886</v>
      </c>
      <c r="AN386" s="246">
        <v>44846</v>
      </c>
      <c r="AO386" s="259"/>
    </row>
    <row r="387" s="96" customFormat="1" customHeight="1" spans="1:41">
      <c r="A387" s="106" t="s">
        <v>1421</v>
      </c>
      <c r="B387" s="115" t="s">
        <v>1422</v>
      </c>
      <c r="C387" s="193" t="s">
        <v>1423</v>
      </c>
      <c r="D387" s="193" t="str">
        <f t="shared" ref="D387:D450" si="121">B387&amp;C387</f>
        <v>江发林    李媛媛340823198309010411</v>
      </c>
      <c r="E387" s="115">
        <v>13598083500</v>
      </c>
      <c r="F387" s="291"/>
      <c r="G387" s="115">
        <v>3</v>
      </c>
      <c r="H387" s="115">
        <v>7</v>
      </c>
      <c r="I387" s="115"/>
      <c r="J387" s="115">
        <v>733</v>
      </c>
      <c r="K387" s="115">
        <v>55.05</v>
      </c>
      <c r="L387" s="115">
        <v>20000</v>
      </c>
      <c r="M387" s="181"/>
      <c r="N387" s="181"/>
      <c r="O387" s="431">
        <v>9741.05</v>
      </c>
      <c r="P387" s="115">
        <v>536245</v>
      </c>
      <c r="Q387" s="115" t="s">
        <v>66</v>
      </c>
      <c r="R387" s="115">
        <v>277245</v>
      </c>
      <c r="S387" s="115"/>
      <c r="T387" s="115" t="s">
        <v>47</v>
      </c>
      <c r="U387" s="115"/>
      <c r="V387" s="133">
        <v>259000</v>
      </c>
      <c r="W387" s="133">
        <v>3578</v>
      </c>
      <c r="X387" s="133">
        <v>560</v>
      </c>
      <c r="Y387" s="115"/>
      <c r="Z387" s="115" t="s">
        <v>48</v>
      </c>
      <c r="AA387" s="133"/>
      <c r="AB387" s="115"/>
      <c r="AC387" s="115"/>
      <c r="AD387" s="115"/>
      <c r="AE387" s="115"/>
      <c r="AF387" s="291"/>
      <c r="AG387" s="246">
        <v>43094</v>
      </c>
      <c r="AH387" s="133">
        <f>X387+W387</f>
        <v>4138</v>
      </c>
      <c r="AI387" s="289">
        <f t="shared" si="118"/>
        <v>540383</v>
      </c>
      <c r="AJ387" s="132">
        <f t="shared" si="119"/>
        <v>540383</v>
      </c>
      <c r="AK387" s="289">
        <f t="shared" si="120"/>
        <v>0</v>
      </c>
      <c r="AL387" s="176"/>
      <c r="AM387" s="133" t="s">
        <v>886</v>
      </c>
      <c r="AN387" s="246">
        <v>44846</v>
      </c>
      <c r="AO387" s="259"/>
    </row>
    <row r="388" s="96" customFormat="1" customHeight="1" spans="1:41">
      <c r="A388" s="106" t="s">
        <v>1424</v>
      </c>
      <c r="B388" s="115" t="s">
        <v>1425</v>
      </c>
      <c r="C388" s="193" t="s">
        <v>1423</v>
      </c>
      <c r="D388" s="193" t="str">
        <f t="shared" si="121"/>
        <v>江发林340823198309010411</v>
      </c>
      <c r="E388" s="115">
        <v>13598083500</v>
      </c>
      <c r="F388" s="291"/>
      <c r="G388" s="115">
        <v>10</v>
      </c>
      <c r="H388" s="115">
        <v>2</v>
      </c>
      <c r="I388" s="115">
        <v>5</v>
      </c>
      <c r="J388" s="115">
        <v>505</v>
      </c>
      <c r="K388" s="115">
        <v>93.05</v>
      </c>
      <c r="L388" s="115">
        <v>11100</v>
      </c>
      <c r="M388" s="181"/>
      <c r="N388" s="181"/>
      <c r="O388" s="431">
        <v>11000</v>
      </c>
      <c r="P388" s="115">
        <v>1023550</v>
      </c>
      <c r="Q388" s="115" t="s">
        <v>46</v>
      </c>
      <c r="R388" s="115">
        <v>623550</v>
      </c>
      <c r="S388" s="115"/>
      <c r="T388" s="115" t="s">
        <v>47</v>
      </c>
      <c r="U388" s="115"/>
      <c r="V388" s="133">
        <v>400000</v>
      </c>
      <c r="W388" s="133">
        <v>6048</v>
      </c>
      <c r="X388" s="133">
        <v>80</v>
      </c>
      <c r="Y388" s="115"/>
      <c r="Z388" s="115" t="s">
        <v>48</v>
      </c>
      <c r="AA388" s="133"/>
      <c r="AB388" s="115">
        <v>20471</v>
      </c>
      <c r="AC388" s="115"/>
      <c r="AD388" s="115"/>
      <c r="AE388" s="115"/>
      <c r="AF388" s="291"/>
      <c r="AG388" s="246">
        <v>43091</v>
      </c>
      <c r="AH388" s="133">
        <f>W388</f>
        <v>6048</v>
      </c>
      <c r="AI388" s="289">
        <f t="shared" si="118"/>
        <v>1050149</v>
      </c>
      <c r="AJ388" s="132">
        <f t="shared" si="119"/>
        <v>1029678</v>
      </c>
      <c r="AK388" s="289">
        <f t="shared" si="120"/>
        <v>20471</v>
      </c>
      <c r="AL388" s="176" t="s">
        <v>1426</v>
      </c>
      <c r="AM388" s="133" t="s">
        <v>886</v>
      </c>
      <c r="AN388" s="246">
        <v>44846</v>
      </c>
      <c r="AO388" s="259"/>
    </row>
    <row r="389" s="96" customFormat="1" customHeight="1" spans="1:41">
      <c r="A389" s="106" t="s">
        <v>1427</v>
      </c>
      <c r="B389" s="115" t="s">
        <v>1428</v>
      </c>
      <c r="C389" s="193" t="s">
        <v>1429</v>
      </c>
      <c r="D389" s="193" t="str">
        <f t="shared" si="121"/>
        <v>楚艳玲410112197002084420</v>
      </c>
      <c r="E389" s="115" t="s">
        <v>1430</v>
      </c>
      <c r="F389" s="291"/>
      <c r="G389" s="115">
        <v>3</v>
      </c>
      <c r="H389" s="115">
        <v>21</v>
      </c>
      <c r="I389" s="115"/>
      <c r="J389" s="115">
        <v>2119</v>
      </c>
      <c r="K389" s="115">
        <v>70.67</v>
      </c>
      <c r="L389" s="115">
        <v>20000</v>
      </c>
      <c r="M389" s="181"/>
      <c r="N389" s="181"/>
      <c r="O389" s="431">
        <v>10000</v>
      </c>
      <c r="P389" s="115">
        <v>706700</v>
      </c>
      <c r="Q389" s="115" t="s">
        <v>56</v>
      </c>
      <c r="R389" s="115">
        <v>706700</v>
      </c>
      <c r="S389" s="115"/>
      <c r="T389" s="115" t="s">
        <v>47</v>
      </c>
      <c r="U389" s="115"/>
      <c r="V389" s="133"/>
      <c r="W389" s="133">
        <v>4593</v>
      </c>
      <c r="X389" s="133">
        <v>550</v>
      </c>
      <c r="Y389" s="115"/>
      <c r="Z389" s="115" t="s">
        <v>48</v>
      </c>
      <c r="AA389" s="133"/>
      <c r="AB389" s="115"/>
      <c r="AC389" s="115"/>
      <c r="AD389" s="115"/>
      <c r="AE389" s="115"/>
      <c r="AF389" s="291"/>
      <c r="AG389" s="246">
        <v>43978</v>
      </c>
      <c r="AH389" s="133"/>
      <c r="AI389" s="289">
        <f t="shared" si="118"/>
        <v>711843</v>
      </c>
      <c r="AJ389" s="132">
        <f t="shared" si="119"/>
        <v>711843</v>
      </c>
      <c r="AK389" s="289">
        <f t="shared" si="120"/>
        <v>0</v>
      </c>
      <c r="AL389" s="176"/>
      <c r="AM389" s="133" t="s">
        <v>886</v>
      </c>
      <c r="AN389" s="246">
        <v>44846</v>
      </c>
      <c r="AO389" s="259"/>
    </row>
    <row r="390" s="96" customFormat="1" customHeight="1" spans="1:41">
      <c r="A390" s="106" t="s">
        <v>1431</v>
      </c>
      <c r="B390" s="115" t="s">
        <v>1428</v>
      </c>
      <c r="C390" s="193" t="s">
        <v>1429</v>
      </c>
      <c r="D390" s="193" t="str">
        <f t="shared" si="121"/>
        <v>楚艳玲410112197002084420</v>
      </c>
      <c r="E390" s="115" t="s">
        <v>1430</v>
      </c>
      <c r="F390" s="291"/>
      <c r="G390" s="115">
        <v>3</v>
      </c>
      <c r="H390" s="115">
        <v>21</v>
      </c>
      <c r="I390" s="115"/>
      <c r="J390" s="115">
        <v>2116</v>
      </c>
      <c r="K390" s="115">
        <v>67.42</v>
      </c>
      <c r="L390" s="115">
        <v>20000</v>
      </c>
      <c r="M390" s="181"/>
      <c r="N390" s="181"/>
      <c r="O390" s="431">
        <v>10000</v>
      </c>
      <c r="P390" s="115">
        <v>674200</v>
      </c>
      <c r="Q390" s="115" t="s">
        <v>56</v>
      </c>
      <c r="R390" s="115">
        <v>674200</v>
      </c>
      <c r="S390" s="115"/>
      <c r="T390" s="115" t="s">
        <v>47</v>
      </c>
      <c r="U390" s="115"/>
      <c r="V390" s="133"/>
      <c r="W390" s="133">
        <v>4382</v>
      </c>
      <c r="X390" s="133">
        <v>550</v>
      </c>
      <c r="Y390" s="115"/>
      <c r="Z390" s="115" t="s">
        <v>48</v>
      </c>
      <c r="AA390" s="133"/>
      <c r="AB390" s="115"/>
      <c r="AC390" s="115"/>
      <c r="AD390" s="115"/>
      <c r="AE390" s="115"/>
      <c r="AF390" s="291"/>
      <c r="AG390" s="246">
        <v>43990</v>
      </c>
      <c r="AH390" s="133"/>
      <c r="AI390" s="289">
        <f t="shared" si="118"/>
        <v>679132</v>
      </c>
      <c r="AJ390" s="132">
        <f t="shared" si="119"/>
        <v>679132</v>
      </c>
      <c r="AK390" s="289">
        <f t="shared" si="120"/>
        <v>0</v>
      </c>
      <c r="AL390" s="176"/>
      <c r="AM390" s="133" t="s">
        <v>886</v>
      </c>
      <c r="AN390" s="246">
        <v>44846</v>
      </c>
      <c r="AO390" s="259"/>
    </row>
    <row r="391" s="93" customFormat="1" customHeight="1" spans="1:41">
      <c r="A391" s="106" t="s">
        <v>1432</v>
      </c>
      <c r="B391" s="106" t="s">
        <v>1433</v>
      </c>
      <c r="C391" s="194"/>
      <c r="D391" s="193" t="str">
        <f t="shared" si="121"/>
        <v>张晓娟</v>
      </c>
      <c r="E391" s="106" t="s">
        <v>1434</v>
      </c>
      <c r="F391" s="453"/>
      <c r="G391" s="106">
        <v>3</v>
      </c>
      <c r="H391" s="106">
        <v>21</v>
      </c>
      <c r="I391" s="106"/>
      <c r="J391" s="106">
        <v>2103</v>
      </c>
      <c r="K391" s="106">
        <v>52.4</v>
      </c>
      <c r="L391" s="106">
        <v>20000</v>
      </c>
      <c r="M391" s="120"/>
      <c r="N391" s="120"/>
      <c r="O391" s="455">
        <v>10000</v>
      </c>
      <c r="P391" s="106">
        <v>524000</v>
      </c>
      <c r="Q391" s="106" t="s">
        <v>56</v>
      </c>
      <c r="R391" s="106">
        <v>524000</v>
      </c>
      <c r="S391" s="106"/>
      <c r="T391" s="106" t="s">
        <v>47</v>
      </c>
      <c r="U391" s="106"/>
      <c r="V391" s="129"/>
      <c r="W391" s="129">
        <v>3406</v>
      </c>
      <c r="X391" s="129">
        <v>550</v>
      </c>
      <c r="Y391" s="106"/>
      <c r="Z391" s="106" t="s">
        <v>48</v>
      </c>
      <c r="AA391" s="129"/>
      <c r="AB391" s="106">
        <v>500</v>
      </c>
      <c r="AC391" s="106"/>
      <c r="AD391" s="106"/>
      <c r="AE391" s="106"/>
      <c r="AF391" s="453"/>
      <c r="AG391" s="290">
        <v>42848</v>
      </c>
      <c r="AH391" s="129">
        <v>524500</v>
      </c>
      <c r="AI391" s="289">
        <f t="shared" si="118"/>
        <v>528456</v>
      </c>
      <c r="AJ391" s="132">
        <f t="shared" si="119"/>
        <v>527956</v>
      </c>
      <c r="AK391" s="289">
        <f t="shared" si="120"/>
        <v>500</v>
      </c>
      <c r="AL391" s="350" t="s">
        <v>1435</v>
      </c>
      <c r="AM391" s="129" t="s">
        <v>886</v>
      </c>
      <c r="AN391" s="290">
        <v>44846</v>
      </c>
      <c r="AO391" s="458"/>
    </row>
    <row r="392" s="96" customFormat="1" customHeight="1" spans="1:41">
      <c r="A392" s="106" t="s">
        <v>1436</v>
      </c>
      <c r="B392" s="115" t="s">
        <v>1437</v>
      </c>
      <c r="C392" s="546" t="s">
        <v>1438</v>
      </c>
      <c r="D392" s="193" t="str">
        <f t="shared" si="121"/>
        <v>刘璐410105199512120108</v>
      </c>
      <c r="E392" s="115">
        <v>13937120915</v>
      </c>
      <c r="F392" s="291"/>
      <c r="G392" s="115">
        <v>3</v>
      </c>
      <c r="H392" s="115">
        <v>21</v>
      </c>
      <c r="I392" s="115"/>
      <c r="J392" s="115">
        <v>2118</v>
      </c>
      <c r="K392" s="115">
        <v>69.11</v>
      </c>
      <c r="L392" s="115">
        <v>20000</v>
      </c>
      <c r="M392" s="181"/>
      <c r="N392" s="181"/>
      <c r="O392" s="431">
        <v>10000</v>
      </c>
      <c r="P392" s="115">
        <v>691100</v>
      </c>
      <c r="Q392" s="115" t="s">
        <v>56</v>
      </c>
      <c r="R392" s="115">
        <v>691100</v>
      </c>
      <c r="S392" s="115"/>
      <c r="T392" s="115" t="s">
        <v>47</v>
      </c>
      <c r="U392" s="115"/>
      <c r="V392" s="133"/>
      <c r="W392" s="133">
        <v>4492</v>
      </c>
      <c r="X392" s="133">
        <v>550</v>
      </c>
      <c r="Y392" s="115"/>
      <c r="Z392" s="115" t="s">
        <v>48</v>
      </c>
      <c r="AA392" s="133"/>
      <c r="AB392" s="115"/>
      <c r="AC392" s="115"/>
      <c r="AD392" s="115"/>
      <c r="AE392" s="115"/>
      <c r="AF392" s="291"/>
      <c r="AG392" s="246">
        <v>43979</v>
      </c>
      <c r="AH392" s="133"/>
      <c r="AI392" s="289">
        <f t="shared" si="118"/>
        <v>696142</v>
      </c>
      <c r="AJ392" s="132">
        <f t="shared" si="119"/>
        <v>696142</v>
      </c>
      <c r="AK392" s="289">
        <f t="shared" si="120"/>
        <v>0</v>
      </c>
      <c r="AL392" s="176"/>
      <c r="AM392" s="133" t="s">
        <v>886</v>
      </c>
      <c r="AN392" s="246">
        <v>44846</v>
      </c>
      <c r="AO392" s="259"/>
    </row>
    <row r="393" s="96" customFormat="1" customHeight="1" spans="1:41">
      <c r="A393" s="106" t="s">
        <v>1439</v>
      </c>
      <c r="B393" s="115" t="s">
        <v>1440</v>
      </c>
      <c r="C393" s="193" t="s">
        <v>1441</v>
      </c>
      <c r="D393" s="193" t="str">
        <f t="shared" si="121"/>
        <v>杨帅411328199302053994</v>
      </c>
      <c r="E393" s="115">
        <v>13137096868</v>
      </c>
      <c r="F393" s="291"/>
      <c r="G393" s="115">
        <v>6</v>
      </c>
      <c r="H393" s="115">
        <v>1</v>
      </c>
      <c r="I393" s="115">
        <v>18</v>
      </c>
      <c r="J393" s="115">
        <v>1806</v>
      </c>
      <c r="K393" s="115">
        <v>86.33</v>
      </c>
      <c r="L393" s="115">
        <v>19480</v>
      </c>
      <c r="M393" s="181"/>
      <c r="N393" s="181"/>
      <c r="O393" s="431">
        <v>19460.21</v>
      </c>
      <c r="P393" s="115">
        <v>1680000</v>
      </c>
      <c r="Q393" s="115" t="s">
        <v>66</v>
      </c>
      <c r="R393" s="115">
        <v>510000</v>
      </c>
      <c r="S393" s="115"/>
      <c r="T393" s="115">
        <v>1169999.9293</v>
      </c>
      <c r="U393" s="115"/>
      <c r="V393" s="133"/>
      <c r="W393" s="133">
        <v>5611</v>
      </c>
      <c r="X393" s="133">
        <v>80</v>
      </c>
      <c r="Y393" s="115"/>
      <c r="Z393" s="115"/>
      <c r="AA393" s="133"/>
      <c r="AB393" s="115"/>
      <c r="AC393" s="115"/>
      <c r="AD393" s="115"/>
      <c r="AE393" s="115"/>
      <c r="AF393" s="291"/>
      <c r="AG393" s="246">
        <v>43296</v>
      </c>
      <c r="AH393" s="133">
        <f>AJ393</f>
        <v>515691</v>
      </c>
      <c r="AI393" s="289">
        <f t="shared" si="118"/>
        <v>515691</v>
      </c>
      <c r="AJ393" s="132">
        <f t="shared" si="119"/>
        <v>515691</v>
      </c>
      <c r="AK393" s="289">
        <f t="shared" si="120"/>
        <v>0</v>
      </c>
      <c r="AL393" s="176"/>
      <c r="AM393" s="133" t="s">
        <v>886</v>
      </c>
      <c r="AN393" s="246">
        <v>44846</v>
      </c>
      <c r="AO393" s="259"/>
    </row>
    <row r="394" s="96" customFormat="1" customHeight="1" spans="1:44">
      <c r="A394" s="115" t="s">
        <v>1442</v>
      </c>
      <c r="B394" s="115" t="s">
        <v>1443</v>
      </c>
      <c r="C394" s="549" t="s">
        <v>1444</v>
      </c>
      <c r="D394" s="193" t="str">
        <f t="shared" si="121"/>
        <v>董成林410502196309052532</v>
      </c>
      <c r="E394" s="155">
        <v>13503975589</v>
      </c>
      <c r="F394" s="115" t="s">
        <v>1445</v>
      </c>
      <c r="G394" s="115">
        <v>10</v>
      </c>
      <c r="H394" s="115">
        <v>2</v>
      </c>
      <c r="I394" s="115">
        <v>19</v>
      </c>
      <c r="J394" s="115">
        <v>1907</v>
      </c>
      <c r="K394" s="115">
        <v>99.52</v>
      </c>
      <c r="L394" s="115">
        <v>19770</v>
      </c>
      <c r="M394" s="115"/>
      <c r="N394" s="115"/>
      <c r="O394" s="431">
        <v>8038.59</v>
      </c>
      <c r="P394" s="239">
        <v>800000</v>
      </c>
      <c r="Q394" s="464" t="s">
        <v>56</v>
      </c>
      <c r="R394" s="83">
        <v>800000</v>
      </c>
      <c r="S394" s="83"/>
      <c r="T394" s="464">
        <v>0</v>
      </c>
      <c r="U394" s="401"/>
      <c r="V394" s="83"/>
      <c r="W394" s="83">
        <v>6468</v>
      </c>
      <c r="X394" s="83">
        <v>80</v>
      </c>
      <c r="Y394" s="83"/>
      <c r="Z394" s="83"/>
      <c r="AA394" s="407"/>
      <c r="AB394" s="83"/>
      <c r="AC394" s="83"/>
      <c r="AD394" s="83"/>
      <c r="AE394" s="83"/>
      <c r="AF394" s="467"/>
      <c r="AG394" s="294">
        <v>43236</v>
      </c>
      <c r="AH394" s="407"/>
      <c r="AI394" s="289">
        <f t="shared" si="118"/>
        <v>806548</v>
      </c>
      <c r="AJ394" s="132">
        <f t="shared" si="119"/>
        <v>806548</v>
      </c>
      <c r="AK394" s="289">
        <f t="shared" si="120"/>
        <v>0</v>
      </c>
      <c r="AL394" s="471"/>
      <c r="AM394" s="133" t="s">
        <v>900</v>
      </c>
      <c r="AN394" s="246">
        <v>44864</v>
      </c>
      <c r="AO394" s="288"/>
      <c r="AP394" s="422"/>
      <c r="AQ394" s="422"/>
      <c r="AR394" s="422"/>
    </row>
    <row r="395" s="96" customFormat="1" customHeight="1" spans="1:44">
      <c r="A395" s="115" t="s">
        <v>1446</v>
      </c>
      <c r="B395" s="115" t="s">
        <v>1447</v>
      </c>
      <c r="C395" s="83" t="s">
        <v>1448</v>
      </c>
      <c r="D395" s="193" t="str">
        <f t="shared" si="121"/>
        <v>李文渊412722199110100826</v>
      </c>
      <c r="E395" s="155">
        <v>13193617566</v>
      </c>
      <c r="F395" s="115"/>
      <c r="G395" s="115">
        <v>3</v>
      </c>
      <c r="H395" s="115">
        <v>10</v>
      </c>
      <c r="I395" s="115"/>
      <c r="J395" s="115">
        <v>1034</v>
      </c>
      <c r="K395" s="115">
        <v>55.51</v>
      </c>
      <c r="L395" s="115">
        <v>20000</v>
      </c>
      <c r="M395" s="115"/>
      <c r="N395" s="115"/>
      <c r="O395" s="431">
        <v>9932.3</v>
      </c>
      <c r="P395" s="239">
        <v>551342</v>
      </c>
      <c r="Q395" s="464" t="s">
        <v>66</v>
      </c>
      <c r="R395" s="83">
        <v>276342</v>
      </c>
      <c r="S395" s="83"/>
      <c r="T395" s="464" t="s">
        <v>47</v>
      </c>
      <c r="U395" s="401"/>
      <c r="V395" s="83">
        <v>275000</v>
      </c>
      <c r="W395" s="83">
        <v>3608</v>
      </c>
      <c r="X395" s="83">
        <v>550</v>
      </c>
      <c r="Y395" s="83"/>
      <c r="Z395" s="83" t="s">
        <v>48</v>
      </c>
      <c r="AA395" s="407"/>
      <c r="AB395" s="83">
        <f>3000+230+1578</f>
        <v>4808</v>
      </c>
      <c r="AC395" s="83"/>
      <c r="AD395" s="83"/>
      <c r="AE395" s="83"/>
      <c r="AF395" s="467"/>
      <c r="AG395" s="294">
        <v>43287</v>
      </c>
      <c r="AH395" s="407">
        <f>R395+W395+X395</f>
        <v>280500</v>
      </c>
      <c r="AI395" s="289">
        <f t="shared" si="118"/>
        <v>560308</v>
      </c>
      <c r="AJ395" s="132">
        <f t="shared" si="119"/>
        <v>555500</v>
      </c>
      <c r="AK395" s="289">
        <f t="shared" si="120"/>
        <v>4808</v>
      </c>
      <c r="AL395" s="471"/>
      <c r="AM395" s="133" t="s">
        <v>900</v>
      </c>
      <c r="AN395" s="246">
        <v>44864</v>
      </c>
      <c r="AO395" s="288"/>
      <c r="AP395" s="422"/>
      <c r="AQ395" s="422"/>
      <c r="AR395" s="422"/>
    </row>
    <row r="396" s="96" customFormat="1" customHeight="1" spans="1:44">
      <c r="A396" s="115" t="s">
        <v>1449</v>
      </c>
      <c r="B396" s="115" t="s">
        <v>1450</v>
      </c>
      <c r="C396" s="549" t="s">
        <v>1451</v>
      </c>
      <c r="D396" s="193" t="str">
        <f t="shared" si="121"/>
        <v>李晓岚410811197905055067</v>
      </c>
      <c r="E396" s="155" t="s">
        <v>1452</v>
      </c>
      <c r="F396" s="115" t="s">
        <v>1453</v>
      </c>
      <c r="G396" s="115">
        <v>10</v>
      </c>
      <c r="H396" s="115">
        <v>2</v>
      </c>
      <c r="I396" s="115">
        <v>8</v>
      </c>
      <c r="J396" s="115">
        <v>807</v>
      </c>
      <c r="K396" s="115">
        <v>99.52</v>
      </c>
      <c r="L396" s="115">
        <v>19720</v>
      </c>
      <c r="M396" s="115"/>
      <c r="N396" s="115"/>
      <c r="O396" s="431">
        <v>9043.41</v>
      </c>
      <c r="P396" s="239">
        <v>900000</v>
      </c>
      <c r="Q396" s="464" t="s">
        <v>56</v>
      </c>
      <c r="R396" s="83">
        <v>900000</v>
      </c>
      <c r="S396" s="83"/>
      <c r="T396" s="464" t="s">
        <v>47</v>
      </c>
      <c r="U396" s="401"/>
      <c r="V396" s="83"/>
      <c r="W396" s="83">
        <v>6468</v>
      </c>
      <c r="X396" s="83">
        <v>80</v>
      </c>
      <c r="Y396" s="83"/>
      <c r="Z396" s="83" t="s">
        <v>48</v>
      </c>
      <c r="AA396" s="407"/>
      <c r="AB396" s="83"/>
      <c r="AC396" s="83"/>
      <c r="AD396" s="83"/>
      <c r="AE396" s="83"/>
      <c r="AF396" s="467"/>
      <c r="AG396" s="294">
        <v>43440</v>
      </c>
      <c r="AH396" s="407"/>
      <c r="AI396" s="289">
        <f t="shared" ref="AI396:AI405" si="122">R396+V396+W396+X396+AA396+AB396+AC396+AD396</f>
        <v>906548</v>
      </c>
      <c r="AJ396" s="132">
        <f t="shared" ref="AJ396:AJ405" si="123">R396+W396+V396+X396+AA396</f>
        <v>906548</v>
      </c>
      <c r="AK396" s="289">
        <f t="shared" ref="AK396:AK405" si="124">AI396-AJ396</f>
        <v>0</v>
      </c>
      <c r="AL396" s="471"/>
      <c r="AM396" s="133" t="s">
        <v>900</v>
      </c>
      <c r="AN396" s="246">
        <v>44864</v>
      </c>
      <c r="AO396" s="288"/>
      <c r="AP396" s="422"/>
      <c r="AQ396" s="422"/>
      <c r="AR396" s="422"/>
    </row>
    <row r="397" s="96" customFormat="1" customHeight="1" spans="1:44">
      <c r="A397" s="115" t="s">
        <v>1454</v>
      </c>
      <c r="B397" s="115" t="s">
        <v>1455</v>
      </c>
      <c r="C397" s="549" t="s">
        <v>1456</v>
      </c>
      <c r="D397" s="193" t="str">
        <f t="shared" si="121"/>
        <v>千运蕊410402197608211520</v>
      </c>
      <c r="E397" s="155" t="s">
        <v>1457</v>
      </c>
      <c r="F397" s="115"/>
      <c r="G397" s="115">
        <v>6</v>
      </c>
      <c r="H397" s="115">
        <v>1</v>
      </c>
      <c r="I397" s="115">
        <v>9</v>
      </c>
      <c r="J397" s="115">
        <v>908</v>
      </c>
      <c r="K397" s="115">
        <v>109.13</v>
      </c>
      <c r="L397" s="115">
        <v>17900</v>
      </c>
      <c r="M397" s="115"/>
      <c r="N397" s="115"/>
      <c r="O397" s="431">
        <v>13500</v>
      </c>
      <c r="P397" s="239">
        <v>1473255</v>
      </c>
      <c r="Q397" s="464" t="s">
        <v>66</v>
      </c>
      <c r="R397" s="83">
        <v>893255</v>
      </c>
      <c r="S397" s="83"/>
      <c r="T397" s="464">
        <v>580000</v>
      </c>
      <c r="U397" s="401"/>
      <c r="V397" s="83"/>
      <c r="W397" s="83">
        <v>7093</v>
      </c>
      <c r="X397" s="83">
        <v>80</v>
      </c>
      <c r="Y397" s="83"/>
      <c r="Z397" s="83"/>
      <c r="AA397" s="407"/>
      <c r="AB397" s="83"/>
      <c r="AC397" s="83"/>
      <c r="AD397" s="83"/>
      <c r="AE397" s="83"/>
      <c r="AF397" s="467"/>
      <c r="AG397" s="294">
        <v>43130</v>
      </c>
      <c r="AH397" s="407"/>
      <c r="AI397" s="289">
        <f t="shared" si="122"/>
        <v>900428</v>
      </c>
      <c r="AJ397" s="132">
        <f t="shared" si="123"/>
        <v>900428</v>
      </c>
      <c r="AK397" s="289">
        <f t="shared" si="124"/>
        <v>0</v>
      </c>
      <c r="AL397" s="471"/>
      <c r="AM397" s="133" t="s">
        <v>900</v>
      </c>
      <c r="AN397" s="246">
        <v>44864</v>
      </c>
      <c r="AO397" s="288"/>
      <c r="AP397" s="422"/>
      <c r="AQ397" s="422"/>
      <c r="AR397" s="422"/>
    </row>
    <row r="398" s="96" customFormat="1" customHeight="1" spans="1:44">
      <c r="A398" s="115" t="s">
        <v>1458</v>
      </c>
      <c r="B398" s="115" t="s">
        <v>1459</v>
      </c>
      <c r="C398" s="549" t="s">
        <v>1460</v>
      </c>
      <c r="D398" s="193" t="str">
        <f t="shared" si="121"/>
        <v>朱士杰410104196909101538</v>
      </c>
      <c r="E398" s="155">
        <v>13938428388</v>
      </c>
      <c r="F398" s="115"/>
      <c r="G398" s="115">
        <v>10</v>
      </c>
      <c r="H398" s="115">
        <v>2</v>
      </c>
      <c r="I398" s="115">
        <v>16</v>
      </c>
      <c r="J398" s="115">
        <v>1607</v>
      </c>
      <c r="K398" s="115">
        <v>99.52</v>
      </c>
      <c r="L398" s="115">
        <v>19770</v>
      </c>
      <c r="M398" s="115"/>
      <c r="N398" s="115"/>
      <c r="O398" s="431">
        <v>14000</v>
      </c>
      <c r="P398" s="239">
        <v>1393280</v>
      </c>
      <c r="Q398" s="464" t="s">
        <v>56</v>
      </c>
      <c r="R398" s="83">
        <v>1393280</v>
      </c>
      <c r="S398" s="83"/>
      <c r="T398" s="464" t="s">
        <v>47</v>
      </c>
      <c r="U398" s="401"/>
      <c r="V398" s="83"/>
      <c r="W398" s="83">
        <v>6468</v>
      </c>
      <c r="X398" s="83">
        <v>80</v>
      </c>
      <c r="Y398" s="83"/>
      <c r="Z398" s="83" t="s">
        <v>48</v>
      </c>
      <c r="AA398" s="407"/>
      <c r="AB398" s="83"/>
      <c r="AC398" s="83"/>
      <c r="AD398" s="83"/>
      <c r="AE398" s="83"/>
      <c r="AF398" s="467"/>
      <c r="AG398" s="294">
        <v>43984</v>
      </c>
      <c r="AH398" s="407"/>
      <c r="AI398" s="289">
        <f t="shared" si="122"/>
        <v>1399828</v>
      </c>
      <c r="AJ398" s="132">
        <f t="shared" si="123"/>
        <v>1399828</v>
      </c>
      <c r="AK398" s="289">
        <f t="shared" si="124"/>
        <v>0</v>
      </c>
      <c r="AL398" s="471"/>
      <c r="AM398" s="133" t="s">
        <v>900</v>
      </c>
      <c r="AN398" s="246">
        <v>44864</v>
      </c>
      <c r="AO398" s="288"/>
      <c r="AP398" s="422"/>
      <c r="AQ398" s="422"/>
      <c r="AR398" s="422"/>
    </row>
    <row r="399" s="96" customFormat="1" customHeight="1" spans="1:44">
      <c r="A399" s="115" t="s">
        <v>1461</v>
      </c>
      <c r="B399" s="115" t="s">
        <v>1459</v>
      </c>
      <c r="C399" s="549" t="s">
        <v>1460</v>
      </c>
      <c r="D399" s="193" t="str">
        <f t="shared" si="121"/>
        <v>朱士杰410104196909101538</v>
      </c>
      <c r="E399" s="155">
        <v>13938428388</v>
      </c>
      <c r="F399" s="115"/>
      <c r="G399" s="115">
        <v>10</v>
      </c>
      <c r="H399" s="115">
        <v>2</v>
      </c>
      <c r="I399" s="115">
        <v>28</v>
      </c>
      <c r="J399" s="115">
        <v>2807</v>
      </c>
      <c r="K399" s="115">
        <v>99.52</v>
      </c>
      <c r="L399" s="115">
        <v>19750</v>
      </c>
      <c r="M399" s="115"/>
      <c r="N399" s="115"/>
      <c r="O399" s="431">
        <v>14000</v>
      </c>
      <c r="P399" s="239">
        <v>1393280</v>
      </c>
      <c r="Q399" s="464" t="s">
        <v>56</v>
      </c>
      <c r="R399" s="83">
        <v>1393280</v>
      </c>
      <c r="S399" s="83"/>
      <c r="T399" s="464" t="s">
        <v>47</v>
      </c>
      <c r="U399" s="401"/>
      <c r="V399" s="83">
        <v>0</v>
      </c>
      <c r="W399" s="83">
        <v>6468</v>
      </c>
      <c r="X399" s="83">
        <v>80</v>
      </c>
      <c r="Y399" s="83"/>
      <c r="Z399" s="83" t="s">
        <v>48</v>
      </c>
      <c r="AA399" s="407"/>
      <c r="AB399" s="83"/>
      <c r="AC399" s="83"/>
      <c r="AD399" s="83"/>
      <c r="AE399" s="83"/>
      <c r="AF399" s="467"/>
      <c r="AG399" s="294">
        <v>43984</v>
      </c>
      <c r="AH399" s="407"/>
      <c r="AI399" s="289">
        <f t="shared" si="122"/>
        <v>1399828</v>
      </c>
      <c r="AJ399" s="132">
        <f t="shared" si="123"/>
        <v>1399828</v>
      </c>
      <c r="AK399" s="289">
        <f t="shared" si="124"/>
        <v>0</v>
      </c>
      <c r="AL399" s="471"/>
      <c r="AM399" s="133" t="s">
        <v>900</v>
      </c>
      <c r="AN399" s="246">
        <v>44864</v>
      </c>
      <c r="AO399" s="288"/>
      <c r="AP399" s="422"/>
      <c r="AQ399" s="422"/>
      <c r="AR399" s="422"/>
    </row>
    <row r="400" s="96" customFormat="1" customHeight="1" spans="1:44">
      <c r="A400" s="115" t="s">
        <v>1462</v>
      </c>
      <c r="B400" s="115" t="s">
        <v>1463</v>
      </c>
      <c r="C400" s="83" t="s">
        <v>1464</v>
      </c>
      <c r="D400" s="193" t="str">
        <f t="shared" si="121"/>
        <v>靳旗陈雪萍412724198303192956</v>
      </c>
      <c r="E400" s="155" t="s">
        <v>1465</v>
      </c>
      <c r="F400" s="115"/>
      <c r="G400" s="115">
        <v>10</v>
      </c>
      <c r="H400" s="115">
        <v>2</v>
      </c>
      <c r="I400" s="115">
        <v>10</v>
      </c>
      <c r="J400" s="115">
        <v>1005</v>
      </c>
      <c r="K400" s="115">
        <v>93.84</v>
      </c>
      <c r="L400" s="115">
        <v>17900</v>
      </c>
      <c r="M400" s="115"/>
      <c r="N400" s="115"/>
      <c r="O400" s="431">
        <v>13800</v>
      </c>
      <c r="P400" s="239">
        <v>1294992</v>
      </c>
      <c r="Q400" s="464" t="s">
        <v>56</v>
      </c>
      <c r="R400" s="83">
        <v>1355871</v>
      </c>
      <c r="S400" s="83">
        <v>-60879</v>
      </c>
      <c r="T400" s="464" t="s">
        <v>47</v>
      </c>
      <c r="U400" s="401"/>
      <c r="V400" s="83"/>
      <c r="W400" s="83">
        <v>6099</v>
      </c>
      <c r="X400" s="83">
        <v>90</v>
      </c>
      <c r="Y400" s="83"/>
      <c r="Z400" s="83" t="s">
        <v>48</v>
      </c>
      <c r="AA400" s="407"/>
      <c r="AB400" s="83"/>
      <c r="AC400" s="83"/>
      <c r="AD400" s="83"/>
      <c r="AE400" s="83"/>
      <c r="AF400" s="467"/>
      <c r="AG400" s="294">
        <v>42881</v>
      </c>
      <c r="AH400" s="407"/>
      <c r="AI400" s="289">
        <f t="shared" si="122"/>
        <v>1362060</v>
      </c>
      <c r="AJ400" s="132">
        <f t="shared" si="123"/>
        <v>1362060</v>
      </c>
      <c r="AK400" s="289">
        <f t="shared" si="124"/>
        <v>0</v>
      </c>
      <c r="AL400" s="471"/>
      <c r="AM400" s="133" t="s">
        <v>900</v>
      </c>
      <c r="AN400" s="246">
        <v>44864</v>
      </c>
      <c r="AO400" s="288"/>
      <c r="AP400" s="422"/>
      <c r="AQ400" s="422"/>
      <c r="AR400" s="422"/>
    </row>
    <row r="401" s="96" customFormat="1" customHeight="1" spans="1:44">
      <c r="A401" s="115" t="s">
        <v>1466</v>
      </c>
      <c r="B401" s="115" t="s">
        <v>1467</v>
      </c>
      <c r="C401" s="83" t="s">
        <v>1468</v>
      </c>
      <c r="D401" s="193" t="str">
        <f t="shared" si="121"/>
        <v>李俊丽412721197611173841</v>
      </c>
      <c r="E401" s="155">
        <v>15617988999</v>
      </c>
      <c r="F401" s="115"/>
      <c r="G401" s="115">
        <v>11</v>
      </c>
      <c r="H401" s="115">
        <v>3</v>
      </c>
      <c r="I401" s="115">
        <v>6</v>
      </c>
      <c r="J401" s="115">
        <v>601</v>
      </c>
      <c r="K401" s="115">
        <v>149.28</v>
      </c>
      <c r="L401" s="115">
        <v>8894</v>
      </c>
      <c r="M401" s="115"/>
      <c r="N401" s="115"/>
      <c r="O401" s="431">
        <v>8794.4</v>
      </c>
      <c r="P401" s="239">
        <v>1312828</v>
      </c>
      <c r="Q401" s="464" t="s">
        <v>66</v>
      </c>
      <c r="R401" s="83">
        <v>392991.2</v>
      </c>
      <c r="S401" s="83"/>
      <c r="T401" s="464">
        <v>919836</v>
      </c>
      <c r="U401" s="401"/>
      <c r="V401" s="83"/>
      <c r="W401" s="83"/>
      <c r="X401" s="83"/>
      <c r="Y401" s="83"/>
      <c r="Z401" s="83"/>
      <c r="AA401" s="407"/>
      <c r="AB401" s="83"/>
      <c r="AC401" s="83"/>
      <c r="AD401" s="83"/>
      <c r="AE401" s="83"/>
      <c r="AF401" s="467"/>
      <c r="AG401" s="294">
        <v>42044</v>
      </c>
      <c r="AH401" s="407">
        <f>R401</f>
        <v>392991.2</v>
      </c>
      <c r="AI401" s="289">
        <f t="shared" si="122"/>
        <v>392991.2</v>
      </c>
      <c r="AJ401" s="132">
        <f t="shared" si="123"/>
        <v>392991.2</v>
      </c>
      <c r="AK401" s="289">
        <f t="shared" si="124"/>
        <v>0</v>
      </c>
      <c r="AL401" s="471"/>
      <c r="AM401" s="133" t="s">
        <v>900</v>
      </c>
      <c r="AN401" s="246">
        <v>44864</v>
      </c>
      <c r="AO401" s="288"/>
      <c r="AP401" s="422"/>
      <c r="AQ401" s="422"/>
      <c r="AR401" s="422"/>
    </row>
    <row r="402" s="96" customFormat="1" customHeight="1" spans="1:44">
      <c r="A402" s="115" t="s">
        <v>1469</v>
      </c>
      <c r="B402" s="115" t="s">
        <v>1470</v>
      </c>
      <c r="C402" s="83" t="s">
        <v>1471</v>
      </c>
      <c r="D402" s="193" t="str">
        <f t="shared" si="121"/>
        <v>孟哲41010519960423011X</v>
      </c>
      <c r="E402" s="155">
        <v>13663715039</v>
      </c>
      <c r="F402" s="115">
        <v>18637179611</v>
      </c>
      <c r="G402" s="115">
        <v>9</v>
      </c>
      <c r="H402" s="115">
        <v>3</v>
      </c>
      <c r="I402" s="115">
        <v>20</v>
      </c>
      <c r="J402" s="115">
        <v>2001</v>
      </c>
      <c r="K402" s="115">
        <v>93.4</v>
      </c>
      <c r="L402" s="115">
        <v>8790</v>
      </c>
      <c r="M402" s="115"/>
      <c r="N402" s="115"/>
      <c r="O402" s="431">
        <v>8689.6</v>
      </c>
      <c r="P402" s="239">
        <v>811609</v>
      </c>
      <c r="Q402" s="464" t="s">
        <v>56</v>
      </c>
      <c r="R402" s="83">
        <v>811609</v>
      </c>
      <c r="S402" s="83"/>
      <c r="T402" s="464" t="s">
        <v>47</v>
      </c>
      <c r="U402" s="401"/>
      <c r="V402" s="83"/>
      <c r="W402" s="83">
        <v>6071</v>
      </c>
      <c r="X402" s="83">
        <v>80</v>
      </c>
      <c r="Y402" s="83"/>
      <c r="Z402" s="83" t="s">
        <v>48</v>
      </c>
      <c r="AA402" s="407"/>
      <c r="AB402" s="83"/>
      <c r="AC402" s="83"/>
      <c r="AD402" s="83"/>
      <c r="AE402" s="83"/>
      <c r="AF402" s="467"/>
      <c r="AG402" s="294">
        <v>43980</v>
      </c>
      <c r="AH402" s="407"/>
      <c r="AI402" s="289">
        <f t="shared" si="122"/>
        <v>817760</v>
      </c>
      <c r="AJ402" s="132">
        <f t="shared" si="123"/>
        <v>817760</v>
      </c>
      <c r="AK402" s="289">
        <f t="shared" si="124"/>
        <v>0</v>
      </c>
      <c r="AL402" s="471"/>
      <c r="AM402" s="133" t="s">
        <v>900</v>
      </c>
      <c r="AN402" s="246">
        <v>44864</v>
      </c>
      <c r="AO402" s="288"/>
      <c r="AP402" s="422"/>
      <c r="AQ402" s="422"/>
      <c r="AR402" s="422"/>
    </row>
    <row r="403" s="96" customFormat="1" customHeight="1" spans="1:44">
      <c r="A403" s="115" t="s">
        <v>1472</v>
      </c>
      <c r="B403" s="115" t="s">
        <v>1473</v>
      </c>
      <c r="C403" s="83" t="s">
        <v>1474</v>
      </c>
      <c r="D403" s="193" t="str">
        <f t="shared" si="121"/>
        <v>秦辛411303199607140522</v>
      </c>
      <c r="E403" s="155" t="s">
        <v>1475</v>
      </c>
      <c r="F403" s="115"/>
      <c r="G403" s="115">
        <v>3</v>
      </c>
      <c r="H403" s="115">
        <v>11</v>
      </c>
      <c r="I403" s="115"/>
      <c r="J403" s="115">
        <v>1126</v>
      </c>
      <c r="K403" s="115">
        <v>56.59</v>
      </c>
      <c r="L403" s="115">
        <v>20000</v>
      </c>
      <c r="M403" s="115"/>
      <c r="N403" s="115"/>
      <c r="O403" s="431">
        <v>15282.05</v>
      </c>
      <c r="P403" s="239">
        <v>864811</v>
      </c>
      <c r="Q403" s="464" t="s">
        <v>66</v>
      </c>
      <c r="R403" s="83">
        <v>564811</v>
      </c>
      <c r="S403" s="83"/>
      <c r="T403" s="464">
        <v>300000</v>
      </c>
      <c r="U403" s="401"/>
      <c r="V403" s="83"/>
      <c r="W403" s="83">
        <v>3678</v>
      </c>
      <c r="X403" s="83">
        <v>550</v>
      </c>
      <c r="Y403" s="83"/>
      <c r="Z403" s="83" t="s">
        <v>48</v>
      </c>
      <c r="AA403" s="407"/>
      <c r="AB403" s="83"/>
      <c r="AC403" s="83"/>
      <c r="AD403" s="83"/>
      <c r="AE403" s="83"/>
      <c r="AF403" s="467"/>
      <c r="AG403" s="294"/>
      <c r="AH403" s="407"/>
      <c r="AI403" s="289">
        <f t="shared" si="122"/>
        <v>569039</v>
      </c>
      <c r="AJ403" s="132">
        <f t="shared" si="123"/>
        <v>569039</v>
      </c>
      <c r="AK403" s="289">
        <f t="shared" si="124"/>
        <v>0</v>
      </c>
      <c r="AL403" s="471" t="s">
        <v>1476</v>
      </c>
      <c r="AM403" s="133" t="s">
        <v>900</v>
      </c>
      <c r="AN403" s="246">
        <v>44864</v>
      </c>
      <c r="AO403" s="288"/>
      <c r="AP403" s="422"/>
      <c r="AQ403" s="422"/>
      <c r="AR403" s="422"/>
    </row>
    <row r="404" s="96" customFormat="1" customHeight="1" spans="1:41">
      <c r="A404" s="106" t="s">
        <v>1477</v>
      </c>
      <c r="B404" s="115" t="s">
        <v>1478</v>
      </c>
      <c r="C404" s="193" t="s">
        <v>1479</v>
      </c>
      <c r="D404" s="193" t="str">
        <f t="shared" si="121"/>
        <v>王小利410203197205162045</v>
      </c>
      <c r="E404" s="115" t="s">
        <v>1480</v>
      </c>
      <c r="F404" s="291" t="s">
        <v>1481</v>
      </c>
      <c r="G404" s="115">
        <v>3</v>
      </c>
      <c r="H404" s="115">
        <v>8</v>
      </c>
      <c r="I404" s="115"/>
      <c r="J404" s="115">
        <v>815</v>
      </c>
      <c r="K404" s="115">
        <v>69.88</v>
      </c>
      <c r="L404" s="115">
        <v>20000</v>
      </c>
      <c r="M404" s="181"/>
      <c r="N404" s="181"/>
      <c r="O404" s="431">
        <v>8600</v>
      </c>
      <c r="P404" s="115">
        <v>600968</v>
      </c>
      <c r="Q404" s="115" t="s">
        <v>56</v>
      </c>
      <c r="R404" s="115">
        <v>601663</v>
      </c>
      <c r="S404" s="115"/>
      <c r="T404" s="115" t="s">
        <v>47</v>
      </c>
      <c r="U404" s="115"/>
      <c r="V404" s="133"/>
      <c r="W404" s="133">
        <v>4542</v>
      </c>
      <c r="X404" s="133">
        <v>550</v>
      </c>
      <c r="Y404" s="115"/>
      <c r="Z404" s="115" t="s">
        <v>48</v>
      </c>
      <c r="AA404" s="133"/>
      <c r="AB404" s="115"/>
      <c r="AC404" s="115"/>
      <c r="AD404" s="115"/>
      <c r="AE404" s="115"/>
      <c r="AF404" s="291"/>
      <c r="AG404" s="246">
        <v>42574</v>
      </c>
      <c r="AH404" s="133"/>
      <c r="AI404" s="289">
        <f t="shared" si="122"/>
        <v>606755</v>
      </c>
      <c r="AJ404" s="132">
        <f t="shared" si="123"/>
        <v>606755</v>
      </c>
      <c r="AK404" s="289">
        <f t="shared" si="124"/>
        <v>0</v>
      </c>
      <c r="AL404" s="176" t="s">
        <v>1482</v>
      </c>
      <c r="AM404" s="133" t="s">
        <v>886</v>
      </c>
      <c r="AN404" s="246">
        <v>44864</v>
      </c>
      <c r="AO404" s="259"/>
    </row>
    <row r="405" s="94" customFormat="1" customHeight="1" spans="1:44">
      <c r="A405" s="115" t="s">
        <v>1483</v>
      </c>
      <c r="B405" s="115" t="s">
        <v>1484</v>
      </c>
      <c r="C405" s="83" t="s">
        <v>1485</v>
      </c>
      <c r="D405" s="193" t="str">
        <f t="shared" si="121"/>
        <v>申保安410511198611101257</v>
      </c>
      <c r="E405" s="155" t="s">
        <v>1486</v>
      </c>
      <c r="F405" s="115"/>
      <c r="G405" s="115">
        <v>11</v>
      </c>
      <c r="H405" s="115">
        <v>3</v>
      </c>
      <c r="I405" s="115">
        <v>24</v>
      </c>
      <c r="J405" s="115">
        <v>2401</v>
      </c>
      <c r="K405" s="115">
        <v>149.28</v>
      </c>
      <c r="L405" s="115">
        <v>8600</v>
      </c>
      <c r="M405" s="115"/>
      <c r="N405" s="115"/>
      <c r="O405" s="431">
        <v>8500</v>
      </c>
      <c r="P405" s="239">
        <v>1268880</v>
      </c>
      <c r="Q405" s="464" t="s">
        <v>56</v>
      </c>
      <c r="R405" s="83">
        <v>1268880</v>
      </c>
      <c r="S405" s="83"/>
      <c r="T405" s="464" t="s">
        <v>47</v>
      </c>
      <c r="U405" s="401"/>
      <c r="V405" s="83"/>
      <c r="W405" s="83">
        <v>9703</v>
      </c>
      <c r="X405" s="83">
        <v>80</v>
      </c>
      <c r="Y405" s="83"/>
      <c r="Z405" s="83" t="s">
        <v>48</v>
      </c>
      <c r="AA405" s="407"/>
      <c r="AB405" s="83"/>
      <c r="AC405" s="83"/>
      <c r="AD405" s="83"/>
      <c r="AE405" s="83"/>
      <c r="AF405" s="467"/>
      <c r="AG405" s="294">
        <v>42173</v>
      </c>
      <c r="AH405" s="407"/>
      <c r="AI405" s="289">
        <f t="shared" si="122"/>
        <v>1278663</v>
      </c>
      <c r="AJ405" s="132">
        <f t="shared" si="123"/>
        <v>1278663</v>
      </c>
      <c r="AK405" s="289">
        <f t="shared" si="124"/>
        <v>0</v>
      </c>
      <c r="AL405" s="471"/>
      <c r="AM405" s="133" t="s">
        <v>900</v>
      </c>
      <c r="AN405" s="246">
        <v>44865</v>
      </c>
      <c r="AO405" s="288"/>
      <c r="AP405" s="422"/>
      <c r="AQ405" s="422"/>
      <c r="AR405" s="422"/>
    </row>
    <row r="406" s="93" customFormat="1" customHeight="1" spans="1:44">
      <c r="A406" s="115" t="s">
        <v>1487</v>
      </c>
      <c r="B406" s="115" t="s">
        <v>1488</v>
      </c>
      <c r="C406" s="83" t="s">
        <v>1489</v>
      </c>
      <c r="D406" s="193" t="str">
        <f t="shared" si="121"/>
        <v>王育硕410381199005040514</v>
      </c>
      <c r="E406" s="155" t="s">
        <v>1490</v>
      </c>
      <c r="F406" s="115"/>
      <c r="G406" s="115">
        <v>3</v>
      </c>
      <c r="H406" s="115">
        <v>14</v>
      </c>
      <c r="I406" s="115"/>
      <c r="J406" s="115">
        <v>1434</v>
      </c>
      <c r="K406" s="115">
        <v>55.51</v>
      </c>
      <c r="L406" s="115">
        <v>20000</v>
      </c>
      <c r="M406" s="115"/>
      <c r="N406" s="115"/>
      <c r="O406" s="431">
        <v>10042.06</v>
      </c>
      <c r="P406" s="239">
        <v>557435</v>
      </c>
      <c r="Q406" s="464" t="s">
        <v>66</v>
      </c>
      <c r="R406" s="83">
        <v>279435</v>
      </c>
      <c r="S406" s="83"/>
      <c r="T406" s="464" t="s">
        <v>47</v>
      </c>
      <c r="U406" s="401"/>
      <c r="V406" s="83">
        <v>278000</v>
      </c>
      <c r="W406" s="83">
        <v>3608</v>
      </c>
      <c r="X406" s="83">
        <v>550</v>
      </c>
      <c r="Y406" s="83"/>
      <c r="Z406" s="83" t="s">
        <v>48</v>
      </c>
      <c r="AA406" s="407"/>
      <c r="AB406" s="83">
        <f>278.22+22297.4</f>
        <v>22575.62</v>
      </c>
      <c r="AC406" s="83"/>
      <c r="AD406" s="83"/>
      <c r="AE406" s="83"/>
      <c r="AF406" s="467"/>
      <c r="AG406" s="294">
        <v>43287</v>
      </c>
      <c r="AH406" s="407"/>
      <c r="AI406" s="289">
        <f t="shared" ref="AI406:AI415" si="125">R406+V406+W406+X406+AA406+AB406+AC406+AD406</f>
        <v>584168.62</v>
      </c>
      <c r="AJ406" s="132">
        <f t="shared" ref="AJ406:AJ415" si="126">R406+W406+V406+X406+AA406</f>
        <v>561593</v>
      </c>
      <c r="AK406" s="289">
        <f t="shared" ref="AK406:AK415" si="127">AI406-AJ406</f>
        <v>22575.62</v>
      </c>
      <c r="AL406" s="471"/>
      <c r="AM406" s="133" t="s">
        <v>900</v>
      </c>
      <c r="AN406" s="246">
        <v>44865</v>
      </c>
      <c r="AO406" s="288"/>
      <c r="AP406" s="422"/>
      <c r="AQ406" s="422"/>
      <c r="AR406" s="422"/>
    </row>
    <row r="407" s="96" customFormat="1" customHeight="1" spans="1:44">
      <c r="A407" s="115" t="s">
        <v>1491</v>
      </c>
      <c r="B407" s="115" t="s">
        <v>1492</v>
      </c>
      <c r="C407" s="83" t="s">
        <v>1493</v>
      </c>
      <c r="D407" s="193" t="str">
        <f t="shared" si="121"/>
        <v>王芸41050419760714052X</v>
      </c>
      <c r="E407" s="155">
        <v>18613725066</v>
      </c>
      <c r="F407" s="115"/>
      <c r="G407" s="115">
        <v>10</v>
      </c>
      <c r="H407" s="115">
        <v>2</v>
      </c>
      <c r="I407" s="115">
        <v>21</v>
      </c>
      <c r="J407" s="115">
        <v>2107</v>
      </c>
      <c r="K407" s="115">
        <v>99.52</v>
      </c>
      <c r="L407" s="115">
        <v>19770</v>
      </c>
      <c r="M407" s="115"/>
      <c r="N407" s="115"/>
      <c r="O407" s="431">
        <v>13000</v>
      </c>
      <c r="P407" s="239">
        <v>1293760</v>
      </c>
      <c r="Q407" s="464" t="s">
        <v>56</v>
      </c>
      <c r="R407" s="83">
        <v>1293760</v>
      </c>
      <c r="S407" s="83"/>
      <c r="T407" s="464" t="s">
        <v>47</v>
      </c>
      <c r="U407" s="401"/>
      <c r="V407" s="83"/>
      <c r="W407" s="83">
        <v>6468</v>
      </c>
      <c r="X407" s="83">
        <v>80</v>
      </c>
      <c r="Y407" s="83"/>
      <c r="Z407" s="83" t="s">
        <v>48</v>
      </c>
      <c r="AA407" s="407"/>
      <c r="AB407" s="83"/>
      <c r="AC407" s="83"/>
      <c r="AD407" s="83"/>
      <c r="AE407" s="83"/>
      <c r="AF407" s="467"/>
      <c r="AG407" s="294">
        <v>44015</v>
      </c>
      <c r="AH407" s="407"/>
      <c r="AI407" s="289">
        <f t="shared" si="125"/>
        <v>1300308</v>
      </c>
      <c r="AJ407" s="132">
        <f t="shared" si="126"/>
        <v>1300308</v>
      </c>
      <c r="AK407" s="289">
        <f t="shared" si="127"/>
        <v>0</v>
      </c>
      <c r="AL407" s="471"/>
      <c r="AM407" s="133" t="s">
        <v>900</v>
      </c>
      <c r="AN407" s="246">
        <v>44865</v>
      </c>
      <c r="AO407" s="288"/>
      <c r="AP407" s="422"/>
      <c r="AQ407" s="422"/>
      <c r="AR407" s="422"/>
    </row>
    <row r="408" s="94" customFormat="1" customHeight="1" spans="1:44">
      <c r="A408" s="115" t="s">
        <v>1494</v>
      </c>
      <c r="B408" s="115" t="s">
        <v>1495</v>
      </c>
      <c r="C408" s="83" t="s">
        <v>1496</v>
      </c>
      <c r="D408" s="193" t="str">
        <f t="shared" si="121"/>
        <v>于海川410222199208283537</v>
      </c>
      <c r="E408" s="155" t="s">
        <v>1497</v>
      </c>
      <c r="F408" s="115"/>
      <c r="G408" s="115">
        <v>2</v>
      </c>
      <c r="H408" s="115">
        <v>20</v>
      </c>
      <c r="I408" s="115"/>
      <c r="J408" s="115">
        <v>2004</v>
      </c>
      <c r="K408" s="115">
        <v>47.97</v>
      </c>
      <c r="L408" s="115">
        <v>30000</v>
      </c>
      <c r="M408" s="115"/>
      <c r="N408" s="115"/>
      <c r="O408" s="431">
        <v>14735.98</v>
      </c>
      <c r="P408" s="239">
        <v>706885</v>
      </c>
      <c r="Q408" s="464" t="s">
        <v>66</v>
      </c>
      <c r="R408" s="83">
        <v>251885</v>
      </c>
      <c r="S408" s="83"/>
      <c r="T408" s="464">
        <v>455000</v>
      </c>
      <c r="U408" s="401"/>
      <c r="V408" s="83"/>
      <c r="W408" s="83">
        <v>3118</v>
      </c>
      <c r="X408" s="83">
        <v>550</v>
      </c>
      <c r="Y408" s="83"/>
      <c r="Z408" s="83"/>
      <c r="AA408" s="407"/>
      <c r="AB408" s="83"/>
      <c r="AC408" s="83"/>
      <c r="AD408" s="83"/>
      <c r="AE408" s="83"/>
      <c r="AF408" s="467"/>
      <c r="AG408" s="294">
        <v>43279</v>
      </c>
      <c r="AH408" s="407"/>
      <c r="AI408" s="289">
        <f t="shared" si="125"/>
        <v>255553</v>
      </c>
      <c r="AJ408" s="132">
        <f t="shared" si="126"/>
        <v>255553</v>
      </c>
      <c r="AK408" s="289">
        <f t="shared" si="127"/>
        <v>0</v>
      </c>
      <c r="AL408" s="471"/>
      <c r="AM408" s="133" t="s">
        <v>900</v>
      </c>
      <c r="AN408" s="246">
        <v>44865</v>
      </c>
      <c r="AO408" s="288"/>
      <c r="AP408" s="422"/>
      <c r="AQ408" s="422"/>
      <c r="AR408" s="422"/>
    </row>
    <row r="409" s="93" customFormat="1" customHeight="1" spans="1:44">
      <c r="A409" s="115" t="s">
        <v>1498</v>
      </c>
      <c r="B409" s="115" t="s">
        <v>1499</v>
      </c>
      <c r="C409" s="83" t="s">
        <v>1500</v>
      </c>
      <c r="D409" s="193" t="str">
        <f t="shared" si="121"/>
        <v>王雪莹410105198601140069</v>
      </c>
      <c r="E409" s="155" t="s">
        <v>1501</v>
      </c>
      <c r="F409" s="115"/>
      <c r="G409" s="115">
        <v>3</v>
      </c>
      <c r="H409" s="115">
        <v>5</v>
      </c>
      <c r="I409" s="115"/>
      <c r="J409" s="115">
        <v>525</v>
      </c>
      <c r="K409" s="115">
        <v>66.54</v>
      </c>
      <c r="L409" s="115">
        <v>20000</v>
      </c>
      <c r="M409" s="115"/>
      <c r="N409" s="115"/>
      <c r="O409" s="431">
        <v>8688.46</v>
      </c>
      <c r="P409" s="239">
        <v>578130</v>
      </c>
      <c r="Q409" s="464" t="s">
        <v>66</v>
      </c>
      <c r="R409" s="83">
        <v>298130</v>
      </c>
      <c r="S409" s="83"/>
      <c r="T409" s="464">
        <v>280000</v>
      </c>
      <c r="U409" s="401"/>
      <c r="V409" s="83"/>
      <c r="W409" s="83">
        <v>4325</v>
      </c>
      <c r="X409" s="83">
        <v>550</v>
      </c>
      <c r="Y409" s="83"/>
      <c r="Z409" s="83" t="s">
        <v>48</v>
      </c>
      <c r="AA409" s="407"/>
      <c r="AB409" s="83"/>
      <c r="AC409" s="83"/>
      <c r="AD409" s="83"/>
      <c r="AE409" s="83"/>
      <c r="AF409" s="467"/>
      <c r="AG409" s="294">
        <v>43201</v>
      </c>
      <c r="AH409" s="407">
        <f>R409+W409+X409</f>
        <v>303005</v>
      </c>
      <c r="AI409" s="289">
        <f t="shared" si="125"/>
        <v>303005</v>
      </c>
      <c r="AJ409" s="132">
        <f t="shared" si="126"/>
        <v>303005</v>
      </c>
      <c r="AK409" s="289">
        <f t="shared" si="127"/>
        <v>0</v>
      </c>
      <c r="AL409" s="471"/>
      <c r="AM409" s="133" t="s">
        <v>900</v>
      </c>
      <c r="AN409" s="246">
        <v>44865</v>
      </c>
      <c r="AO409" s="288"/>
      <c r="AP409" s="422"/>
      <c r="AQ409" s="422"/>
      <c r="AR409" s="422"/>
    </row>
    <row r="410" s="94" customFormat="1" customHeight="1" spans="1:44">
      <c r="A410" s="115" t="s">
        <v>1502</v>
      </c>
      <c r="B410" s="115" t="s">
        <v>1503</v>
      </c>
      <c r="C410" s="83" t="s">
        <v>1504</v>
      </c>
      <c r="D410" s="193" t="str">
        <f t="shared" si="121"/>
        <v>陈光英413027197702282745</v>
      </c>
      <c r="E410" s="368">
        <v>13663855928</v>
      </c>
      <c r="F410" s="115"/>
      <c r="G410" s="115">
        <v>3</v>
      </c>
      <c r="H410" s="115">
        <v>15</v>
      </c>
      <c r="I410" s="115"/>
      <c r="J410" s="115">
        <v>1502</v>
      </c>
      <c r="K410" s="115">
        <v>47.59</v>
      </c>
      <c r="L410" s="115">
        <v>20000</v>
      </c>
      <c r="M410" s="115"/>
      <c r="N410" s="115"/>
      <c r="O410" s="431">
        <v>11819.83</v>
      </c>
      <c r="P410" s="239">
        <v>562506</v>
      </c>
      <c r="Q410" s="464" t="s">
        <v>66</v>
      </c>
      <c r="R410" s="83">
        <v>282506</v>
      </c>
      <c r="S410" s="83"/>
      <c r="T410" s="464">
        <v>280000</v>
      </c>
      <c r="U410" s="401"/>
      <c r="V410" s="83"/>
      <c r="W410" s="83">
        <v>3093</v>
      </c>
      <c r="X410" s="83">
        <v>550</v>
      </c>
      <c r="Y410" s="83"/>
      <c r="Z410" s="83"/>
      <c r="AA410" s="407"/>
      <c r="AB410" s="83">
        <v>3000</v>
      </c>
      <c r="AC410" s="83"/>
      <c r="AD410" s="83"/>
      <c r="AE410" s="83"/>
      <c r="AF410" s="467"/>
      <c r="AG410" s="294">
        <v>43132</v>
      </c>
      <c r="AH410" s="407">
        <f>R410+W410+X410</f>
        <v>286149</v>
      </c>
      <c r="AI410" s="289">
        <f t="shared" si="125"/>
        <v>289149</v>
      </c>
      <c r="AJ410" s="132">
        <f t="shared" si="126"/>
        <v>286149</v>
      </c>
      <c r="AK410" s="289">
        <f t="shared" si="127"/>
        <v>3000</v>
      </c>
      <c r="AL410" s="471"/>
      <c r="AM410" s="133" t="s">
        <v>900</v>
      </c>
      <c r="AN410" s="246">
        <v>44865</v>
      </c>
      <c r="AO410" s="288"/>
      <c r="AP410" s="422"/>
      <c r="AQ410" s="422"/>
      <c r="AR410" s="422"/>
    </row>
    <row r="411" s="93" customFormat="1" customHeight="1" spans="1:44">
      <c r="A411" s="115" t="s">
        <v>1505</v>
      </c>
      <c r="B411" s="115" t="s">
        <v>1506</v>
      </c>
      <c r="C411" s="83" t="s">
        <v>1507</v>
      </c>
      <c r="D411" s="193" t="str">
        <f t="shared" si="121"/>
        <v>杜威410105199605160213</v>
      </c>
      <c r="E411" s="155" t="s">
        <v>1508</v>
      </c>
      <c r="F411" s="115" t="s">
        <v>1509</v>
      </c>
      <c r="G411" s="115">
        <v>3</v>
      </c>
      <c r="H411" s="115">
        <v>15</v>
      </c>
      <c r="I411" s="115"/>
      <c r="J411" s="115">
        <v>1506</v>
      </c>
      <c r="K411" s="115">
        <v>61.66</v>
      </c>
      <c r="L411" s="115">
        <v>20000</v>
      </c>
      <c r="M411" s="115"/>
      <c r="N411" s="115"/>
      <c r="O411" s="431">
        <v>11082.7502429543</v>
      </c>
      <c r="P411" s="239">
        <v>683364</v>
      </c>
      <c r="Q411" s="464" t="s">
        <v>66</v>
      </c>
      <c r="R411" s="83">
        <v>343364</v>
      </c>
      <c r="S411" s="83"/>
      <c r="T411" s="464">
        <v>340000</v>
      </c>
      <c r="U411" s="401"/>
      <c r="V411" s="83"/>
      <c r="W411" s="83">
        <v>4007</v>
      </c>
      <c r="X411" s="83">
        <v>550</v>
      </c>
      <c r="Y411" s="83"/>
      <c r="Z411" s="83"/>
      <c r="AA411" s="407"/>
      <c r="AB411" s="83"/>
      <c r="AC411" s="83"/>
      <c r="AD411" s="83"/>
      <c r="AE411" s="83"/>
      <c r="AF411" s="467"/>
      <c r="AG411" s="294">
        <v>43317</v>
      </c>
      <c r="AH411" s="407">
        <f>R411+W411</f>
        <v>347371</v>
      </c>
      <c r="AI411" s="289">
        <f t="shared" si="125"/>
        <v>347921</v>
      </c>
      <c r="AJ411" s="132">
        <f t="shared" si="126"/>
        <v>347921</v>
      </c>
      <c r="AK411" s="289">
        <f t="shared" si="127"/>
        <v>0</v>
      </c>
      <c r="AL411" s="471" t="s">
        <v>1510</v>
      </c>
      <c r="AM411" s="133" t="s">
        <v>900</v>
      </c>
      <c r="AN411" s="246">
        <v>44865</v>
      </c>
      <c r="AO411" s="288"/>
      <c r="AP411" s="422"/>
      <c r="AQ411" s="422"/>
      <c r="AR411" s="422"/>
    </row>
    <row r="412" s="93" customFormat="1" customHeight="1" spans="1:44">
      <c r="A412" s="115" t="s">
        <v>1511</v>
      </c>
      <c r="B412" s="115" t="s">
        <v>1512</v>
      </c>
      <c r="C412" s="549" t="s">
        <v>1513</v>
      </c>
      <c r="D412" s="193" t="str">
        <f t="shared" si="121"/>
        <v>朱超凡410222199511230016</v>
      </c>
      <c r="E412" s="155" t="s">
        <v>1514</v>
      </c>
      <c r="F412" s="115" t="s">
        <v>1515</v>
      </c>
      <c r="G412" s="115">
        <v>3</v>
      </c>
      <c r="H412" s="115">
        <v>10</v>
      </c>
      <c r="I412" s="115"/>
      <c r="J412" s="115">
        <v>1035</v>
      </c>
      <c r="K412" s="115">
        <v>55.18</v>
      </c>
      <c r="L412" s="115">
        <v>20000</v>
      </c>
      <c r="M412" s="115"/>
      <c r="N412" s="115"/>
      <c r="O412" s="431">
        <v>14000</v>
      </c>
      <c r="P412" s="239">
        <v>772520</v>
      </c>
      <c r="Q412" s="464" t="s">
        <v>56</v>
      </c>
      <c r="R412" s="83">
        <v>772520</v>
      </c>
      <c r="S412" s="83"/>
      <c r="T412" s="464" t="s">
        <v>47</v>
      </c>
      <c r="U412" s="401"/>
      <c r="V412" s="83"/>
      <c r="W412" s="83">
        <v>3586</v>
      </c>
      <c r="X412" s="83">
        <v>550</v>
      </c>
      <c r="Y412" s="83"/>
      <c r="Z412" s="83" t="s">
        <v>48</v>
      </c>
      <c r="AA412" s="407"/>
      <c r="AB412" s="83">
        <v>30000</v>
      </c>
      <c r="AC412" s="83"/>
      <c r="AD412" s="83"/>
      <c r="AE412" s="83"/>
      <c r="AF412" s="467"/>
      <c r="AG412" s="294">
        <v>43400</v>
      </c>
      <c r="AH412" s="407"/>
      <c r="AI412" s="289">
        <f t="shared" si="125"/>
        <v>806656</v>
      </c>
      <c r="AJ412" s="132">
        <f t="shared" si="126"/>
        <v>776656</v>
      </c>
      <c r="AK412" s="289">
        <f t="shared" si="127"/>
        <v>30000</v>
      </c>
      <c r="AL412" s="471" t="s">
        <v>1516</v>
      </c>
      <c r="AM412" s="133" t="s">
        <v>900</v>
      </c>
      <c r="AN412" s="246">
        <v>44865</v>
      </c>
      <c r="AO412" s="288"/>
      <c r="AP412" s="422"/>
      <c r="AQ412" s="422"/>
      <c r="AR412" s="422"/>
    </row>
    <row r="413" s="93" customFormat="1" customHeight="1" spans="1:44">
      <c r="A413" s="106" t="s">
        <v>1517</v>
      </c>
      <c r="B413" s="115" t="s">
        <v>1518</v>
      </c>
      <c r="C413" s="193" t="s">
        <v>1519</v>
      </c>
      <c r="D413" s="193" t="str">
        <f t="shared" si="121"/>
        <v>高歌410105196608311626</v>
      </c>
      <c r="E413" s="115" t="s">
        <v>1520</v>
      </c>
      <c r="F413" s="291"/>
      <c r="G413" s="115">
        <v>3</v>
      </c>
      <c r="H413" s="115">
        <v>5</v>
      </c>
      <c r="I413" s="115"/>
      <c r="J413" s="115">
        <v>501</v>
      </c>
      <c r="K413" s="115">
        <v>60.87</v>
      </c>
      <c r="L413" s="115">
        <v>20000</v>
      </c>
      <c r="M413" s="181"/>
      <c r="N413" s="181"/>
      <c r="O413" s="431">
        <v>12985</v>
      </c>
      <c r="P413" s="115">
        <v>790397</v>
      </c>
      <c r="Q413" s="115" t="s">
        <v>66</v>
      </c>
      <c r="R413" s="115">
        <v>445058</v>
      </c>
      <c r="S413" s="115"/>
      <c r="T413" s="115">
        <v>345338.95</v>
      </c>
      <c r="U413" s="115"/>
      <c r="V413" s="133"/>
      <c r="W413" s="133"/>
      <c r="X413" s="133"/>
      <c r="Y413" s="115"/>
      <c r="Z413" s="115"/>
      <c r="AA413" s="133"/>
      <c r="AB413" s="115"/>
      <c r="AC413" s="115"/>
      <c r="AD413" s="115"/>
      <c r="AE413" s="115"/>
      <c r="AF413" s="291"/>
      <c r="AG413" s="246">
        <v>42899</v>
      </c>
      <c r="AH413" s="133">
        <f>AJ413</f>
        <v>445058</v>
      </c>
      <c r="AI413" s="289">
        <f t="shared" si="125"/>
        <v>445058</v>
      </c>
      <c r="AJ413" s="132">
        <f t="shared" si="126"/>
        <v>445058</v>
      </c>
      <c r="AK413" s="289">
        <f t="shared" si="127"/>
        <v>0</v>
      </c>
      <c r="AL413" s="176"/>
      <c r="AM413" s="133" t="s">
        <v>886</v>
      </c>
      <c r="AN413" s="246">
        <v>44864</v>
      </c>
      <c r="AO413" s="259"/>
      <c r="AP413" s="96"/>
      <c r="AQ413" s="96"/>
      <c r="AR413" s="96"/>
    </row>
    <row r="414" s="93" customFormat="1" customHeight="1" spans="1:44">
      <c r="A414" s="106" t="s">
        <v>1521</v>
      </c>
      <c r="B414" s="115" t="s">
        <v>1522</v>
      </c>
      <c r="C414" s="546" t="s">
        <v>1523</v>
      </c>
      <c r="D414" s="193" t="str">
        <f t="shared" si="121"/>
        <v>杜虎412702199201207818</v>
      </c>
      <c r="E414" s="115">
        <v>15638088686</v>
      </c>
      <c r="F414" s="291"/>
      <c r="G414" s="115">
        <v>10</v>
      </c>
      <c r="H414" s="115">
        <v>2</v>
      </c>
      <c r="I414" s="115">
        <v>31</v>
      </c>
      <c r="J414" s="115">
        <v>3106</v>
      </c>
      <c r="K414" s="115">
        <v>99.52</v>
      </c>
      <c r="L414" s="115">
        <v>9100</v>
      </c>
      <c r="M414" s="181"/>
      <c r="N414" s="181"/>
      <c r="O414" s="431">
        <v>9000</v>
      </c>
      <c r="P414" s="115">
        <v>895680</v>
      </c>
      <c r="Q414" s="115" t="s">
        <v>66</v>
      </c>
      <c r="R414" s="115">
        <v>375680</v>
      </c>
      <c r="S414" s="115"/>
      <c r="T414" s="115" t="s">
        <v>47</v>
      </c>
      <c r="U414" s="115"/>
      <c r="V414" s="133">
        <v>520000</v>
      </c>
      <c r="W414" s="133">
        <v>6468</v>
      </c>
      <c r="X414" s="133">
        <v>80</v>
      </c>
      <c r="Y414" s="115"/>
      <c r="Z414" s="115" t="s">
        <v>48</v>
      </c>
      <c r="AA414" s="133"/>
      <c r="AB414" s="115">
        <v>1272</v>
      </c>
      <c r="AC414" s="115"/>
      <c r="AD414" s="115"/>
      <c r="AE414" s="115"/>
      <c r="AF414" s="291"/>
      <c r="AG414" s="246" t="s">
        <v>1524</v>
      </c>
      <c r="AH414" s="133"/>
      <c r="AI414" s="289">
        <f t="shared" si="125"/>
        <v>903500</v>
      </c>
      <c r="AJ414" s="132">
        <f t="shared" si="126"/>
        <v>902228</v>
      </c>
      <c r="AK414" s="289">
        <f t="shared" si="127"/>
        <v>1272</v>
      </c>
      <c r="AL414" s="176"/>
      <c r="AM414" s="133" t="s">
        <v>886</v>
      </c>
      <c r="AN414" s="246">
        <v>44864</v>
      </c>
      <c r="AO414" s="259"/>
      <c r="AP414" s="96"/>
      <c r="AQ414" s="96"/>
      <c r="AR414" s="96"/>
    </row>
    <row r="415" s="94" customFormat="1" customHeight="1" spans="1:44">
      <c r="A415" s="106" t="s">
        <v>1525</v>
      </c>
      <c r="B415" s="115" t="s">
        <v>1526</v>
      </c>
      <c r="C415" s="193" t="s">
        <v>1527</v>
      </c>
      <c r="D415" s="193" t="str">
        <f t="shared" si="121"/>
        <v>付娟411503197810130022</v>
      </c>
      <c r="E415" s="115" t="s">
        <v>1528</v>
      </c>
      <c r="F415" s="291"/>
      <c r="G415" s="115">
        <v>2</v>
      </c>
      <c r="H415" s="115">
        <v>20</v>
      </c>
      <c r="I415" s="115"/>
      <c r="J415" s="115">
        <v>2002</v>
      </c>
      <c r="K415" s="115">
        <v>47.97</v>
      </c>
      <c r="L415" s="115">
        <v>30000</v>
      </c>
      <c r="M415" s="181"/>
      <c r="N415" s="181"/>
      <c r="O415" s="431">
        <v>14788.47</v>
      </c>
      <c r="P415" s="115">
        <v>709403</v>
      </c>
      <c r="Q415" s="115" t="s">
        <v>66</v>
      </c>
      <c r="R415" s="115">
        <v>359403</v>
      </c>
      <c r="S415" s="115"/>
      <c r="T415" s="115">
        <v>350000</v>
      </c>
      <c r="U415" s="115"/>
      <c r="V415" s="133"/>
      <c r="W415" s="133">
        <v>3118</v>
      </c>
      <c r="X415" s="133">
        <v>550</v>
      </c>
      <c r="Y415" s="115"/>
      <c r="Z415" s="115"/>
      <c r="AA415" s="133"/>
      <c r="AB415" s="115"/>
      <c r="AC415" s="115"/>
      <c r="AD415" s="115"/>
      <c r="AE415" s="115"/>
      <c r="AF415" s="291"/>
      <c r="AG415" s="246">
        <v>43269</v>
      </c>
      <c r="AH415" s="133"/>
      <c r="AI415" s="289">
        <f t="shared" si="125"/>
        <v>363071</v>
      </c>
      <c r="AJ415" s="132">
        <f t="shared" si="126"/>
        <v>363071</v>
      </c>
      <c r="AK415" s="289">
        <f t="shared" si="127"/>
        <v>0</v>
      </c>
      <c r="AL415" s="176"/>
      <c r="AM415" s="133" t="s">
        <v>886</v>
      </c>
      <c r="AN415" s="246">
        <v>44864</v>
      </c>
      <c r="AO415" s="259"/>
      <c r="AP415" s="96"/>
      <c r="AQ415" s="96"/>
      <c r="AR415" s="96"/>
    </row>
    <row r="416" s="93" customFormat="1" customHeight="1" spans="1:44">
      <c r="A416" s="106" t="s">
        <v>1529</v>
      </c>
      <c r="B416" s="115" t="s">
        <v>1530</v>
      </c>
      <c r="C416" s="193" t="s">
        <v>1531</v>
      </c>
      <c r="D416" s="193" t="str">
        <f t="shared" si="121"/>
        <v>荆涛410103197509191317</v>
      </c>
      <c r="E416" s="115">
        <v>13939063997</v>
      </c>
      <c r="F416" s="291"/>
      <c r="G416" s="115">
        <v>3</v>
      </c>
      <c r="H416" s="115">
        <v>28</v>
      </c>
      <c r="I416" s="115"/>
      <c r="J416" s="115">
        <v>2831</v>
      </c>
      <c r="K416" s="115">
        <v>56.44</v>
      </c>
      <c r="L416" s="115">
        <v>20000</v>
      </c>
      <c r="M416" s="181"/>
      <c r="N416" s="181"/>
      <c r="O416" s="431">
        <v>13191</v>
      </c>
      <c r="P416" s="115">
        <v>744500</v>
      </c>
      <c r="Q416" s="115" t="s">
        <v>56</v>
      </c>
      <c r="R416" s="115">
        <v>744500</v>
      </c>
      <c r="S416" s="115"/>
      <c r="T416" s="115" t="s">
        <v>47</v>
      </c>
      <c r="U416" s="115"/>
      <c r="V416" s="133"/>
      <c r="W416" s="133">
        <v>3668</v>
      </c>
      <c r="X416" s="133">
        <v>550</v>
      </c>
      <c r="Y416" s="115"/>
      <c r="Z416" s="115" t="s">
        <v>48</v>
      </c>
      <c r="AA416" s="133"/>
      <c r="AB416" s="115"/>
      <c r="AC416" s="115"/>
      <c r="AD416" s="115"/>
      <c r="AE416" s="115"/>
      <c r="AF416" s="291" t="s">
        <v>1532</v>
      </c>
      <c r="AG416" s="246">
        <v>42886</v>
      </c>
      <c r="AH416" s="133">
        <v>744764</v>
      </c>
      <c r="AI416" s="289">
        <f t="shared" ref="AI416:AI423" si="128">R416+V416+W416+X416+AA416+AB416+AC416+AD416</f>
        <v>748718</v>
      </c>
      <c r="AJ416" s="132">
        <f t="shared" ref="AJ416:AJ423" si="129">R416+W416+V416+X416+AA416</f>
        <v>748718</v>
      </c>
      <c r="AK416" s="289">
        <f t="shared" ref="AK416:AK423" si="130">AI416-AJ416</f>
        <v>0</v>
      </c>
      <c r="AL416" s="176" t="s">
        <v>1533</v>
      </c>
      <c r="AM416" s="133" t="s">
        <v>886</v>
      </c>
      <c r="AN416" s="246">
        <v>44864</v>
      </c>
      <c r="AO416" s="259"/>
      <c r="AP416" s="96"/>
      <c r="AQ416" s="96"/>
      <c r="AR416" s="96"/>
    </row>
    <row r="417" s="93" customFormat="1" customHeight="1" spans="1:44">
      <c r="A417" s="106" t="s">
        <v>1534</v>
      </c>
      <c r="B417" s="115" t="s">
        <v>1535</v>
      </c>
      <c r="C417" s="193" t="s">
        <v>1536</v>
      </c>
      <c r="D417" s="193" t="str">
        <f t="shared" si="121"/>
        <v>李素芳410103198211183749</v>
      </c>
      <c r="E417" s="115">
        <v>15538181021</v>
      </c>
      <c r="F417" s="291"/>
      <c r="G417" s="115">
        <v>6</v>
      </c>
      <c r="H417" s="115">
        <v>1</v>
      </c>
      <c r="I417" s="115">
        <v>17</v>
      </c>
      <c r="J417" s="115">
        <v>1706</v>
      </c>
      <c r="K417" s="115">
        <v>86.33</v>
      </c>
      <c r="L417" s="115">
        <v>17900</v>
      </c>
      <c r="M417" s="181"/>
      <c r="N417" s="181"/>
      <c r="O417" s="431">
        <v>15000</v>
      </c>
      <c r="P417" s="115">
        <v>1294950</v>
      </c>
      <c r="Q417" s="115" t="s">
        <v>66</v>
      </c>
      <c r="R417" s="115">
        <v>669000</v>
      </c>
      <c r="S417" s="115"/>
      <c r="T417" s="115">
        <v>625950</v>
      </c>
      <c r="U417" s="115"/>
      <c r="V417" s="133"/>
      <c r="W417" s="133"/>
      <c r="X417" s="133"/>
      <c r="Y417" s="115"/>
      <c r="Z417" s="115"/>
      <c r="AA417" s="133"/>
      <c r="AB417" s="115"/>
      <c r="AC417" s="115"/>
      <c r="AD417" s="115"/>
      <c r="AE417" s="115"/>
      <c r="AF417" s="291"/>
      <c r="AG417" s="246">
        <v>42834</v>
      </c>
      <c r="AH417" s="133">
        <f>AJ417</f>
        <v>669000</v>
      </c>
      <c r="AI417" s="289">
        <f t="shared" si="128"/>
        <v>669000</v>
      </c>
      <c r="AJ417" s="132">
        <f t="shared" si="129"/>
        <v>669000</v>
      </c>
      <c r="AK417" s="289">
        <f t="shared" si="130"/>
        <v>0</v>
      </c>
      <c r="AL417" s="176" t="s">
        <v>1537</v>
      </c>
      <c r="AM417" s="133" t="s">
        <v>886</v>
      </c>
      <c r="AN417" s="246">
        <v>44864</v>
      </c>
      <c r="AO417" s="259"/>
      <c r="AP417" s="96"/>
      <c r="AQ417" s="96"/>
      <c r="AR417" s="96"/>
    </row>
    <row r="418" s="94" customFormat="1" customHeight="1" spans="1:44">
      <c r="A418" s="106" t="s">
        <v>1538</v>
      </c>
      <c r="B418" s="115" t="s">
        <v>1539</v>
      </c>
      <c r="C418" s="193" t="s">
        <v>1540</v>
      </c>
      <c r="D418" s="193" t="str">
        <f t="shared" si="121"/>
        <v>刘燕410104197504190020</v>
      </c>
      <c r="E418" s="115" t="s">
        <v>1541</v>
      </c>
      <c r="F418" s="291"/>
      <c r="G418" s="115">
        <v>3</v>
      </c>
      <c r="H418" s="115">
        <v>18</v>
      </c>
      <c r="I418" s="115"/>
      <c r="J418" s="115">
        <v>1820</v>
      </c>
      <c r="K418" s="115">
        <v>73.25</v>
      </c>
      <c r="L418" s="115">
        <v>30000</v>
      </c>
      <c r="M418" s="181"/>
      <c r="N418" s="181"/>
      <c r="O418" s="431">
        <v>10500</v>
      </c>
      <c r="P418" s="115">
        <v>769125</v>
      </c>
      <c r="Q418" s="115" t="s">
        <v>56</v>
      </c>
      <c r="R418" s="115">
        <v>769125</v>
      </c>
      <c r="S418" s="115"/>
      <c r="T418" s="115" t="s">
        <v>47</v>
      </c>
      <c r="U418" s="115"/>
      <c r="V418" s="133"/>
      <c r="W418" s="133">
        <v>4761</v>
      </c>
      <c r="X418" s="133">
        <v>550</v>
      </c>
      <c r="Y418" s="115"/>
      <c r="Z418" s="115" t="s">
        <v>48</v>
      </c>
      <c r="AA418" s="133"/>
      <c r="AB418" s="115"/>
      <c r="AC418" s="115"/>
      <c r="AD418" s="115"/>
      <c r="AE418" s="115"/>
      <c r="AF418" s="291"/>
      <c r="AG418" s="246">
        <v>43305</v>
      </c>
      <c r="AH418" s="133">
        <f>AJ418</f>
        <v>774436</v>
      </c>
      <c r="AI418" s="289">
        <f t="shared" si="128"/>
        <v>774436</v>
      </c>
      <c r="AJ418" s="132">
        <f t="shared" si="129"/>
        <v>774436</v>
      </c>
      <c r="AK418" s="289">
        <f t="shared" si="130"/>
        <v>0</v>
      </c>
      <c r="AL418" s="176"/>
      <c r="AM418" s="133" t="s">
        <v>886</v>
      </c>
      <c r="AN418" s="246">
        <v>44864</v>
      </c>
      <c r="AO418" s="259"/>
      <c r="AP418" s="96"/>
      <c r="AQ418" s="96"/>
      <c r="AR418" s="96"/>
    </row>
    <row r="419" s="93" customFormat="1" customHeight="1" spans="1:44">
      <c r="A419" s="106" t="s">
        <v>1542</v>
      </c>
      <c r="B419" s="115" t="s">
        <v>1539</v>
      </c>
      <c r="C419" s="193" t="s">
        <v>1540</v>
      </c>
      <c r="D419" s="193" t="str">
        <f t="shared" si="121"/>
        <v>刘燕410104197504190020</v>
      </c>
      <c r="E419" s="115" t="s">
        <v>1541</v>
      </c>
      <c r="F419" s="291"/>
      <c r="G419" s="115">
        <v>3</v>
      </c>
      <c r="H419" s="115">
        <v>18</v>
      </c>
      <c r="I419" s="115"/>
      <c r="J419" s="115">
        <v>1826</v>
      </c>
      <c r="K419" s="115">
        <v>56.59</v>
      </c>
      <c r="L419" s="115">
        <v>30000</v>
      </c>
      <c r="M419" s="181"/>
      <c r="N419" s="181"/>
      <c r="O419" s="431">
        <v>10500</v>
      </c>
      <c r="P419" s="115">
        <v>594195</v>
      </c>
      <c r="Q419" s="115" t="s">
        <v>56</v>
      </c>
      <c r="R419" s="115">
        <v>594195</v>
      </c>
      <c r="S419" s="115"/>
      <c r="T419" s="115" t="s">
        <v>47</v>
      </c>
      <c r="U419" s="115"/>
      <c r="V419" s="133"/>
      <c r="W419" s="133">
        <v>3678</v>
      </c>
      <c r="X419" s="133">
        <v>550</v>
      </c>
      <c r="Y419" s="115"/>
      <c r="Z419" s="115" t="s">
        <v>48</v>
      </c>
      <c r="AA419" s="133"/>
      <c r="AB419" s="115"/>
      <c r="AC419" s="115"/>
      <c r="AD419" s="115"/>
      <c r="AE419" s="115"/>
      <c r="AF419" s="291"/>
      <c r="AG419" s="246">
        <v>43305</v>
      </c>
      <c r="AH419" s="133">
        <f>AJ419</f>
        <v>598423</v>
      </c>
      <c r="AI419" s="289">
        <f t="shared" si="128"/>
        <v>598423</v>
      </c>
      <c r="AJ419" s="132">
        <f t="shared" si="129"/>
        <v>598423</v>
      </c>
      <c r="AK419" s="289">
        <f t="shared" si="130"/>
        <v>0</v>
      </c>
      <c r="AL419" s="176"/>
      <c r="AM419" s="133" t="s">
        <v>886</v>
      </c>
      <c r="AN419" s="246">
        <v>44864</v>
      </c>
      <c r="AO419" s="259"/>
      <c r="AP419" s="96"/>
      <c r="AQ419" s="96"/>
      <c r="AR419" s="96"/>
    </row>
    <row r="420" s="94" customFormat="1" customHeight="1" spans="1:44">
      <c r="A420" s="106" t="s">
        <v>1543</v>
      </c>
      <c r="B420" s="115" t="s">
        <v>1539</v>
      </c>
      <c r="C420" s="193" t="s">
        <v>1540</v>
      </c>
      <c r="D420" s="193" t="str">
        <f t="shared" si="121"/>
        <v>刘燕410104197504190020</v>
      </c>
      <c r="E420" s="115" t="s">
        <v>1541</v>
      </c>
      <c r="F420" s="291"/>
      <c r="G420" s="115">
        <v>3</v>
      </c>
      <c r="H420" s="115">
        <v>18</v>
      </c>
      <c r="I420" s="115"/>
      <c r="J420" s="115">
        <v>1827</v>
      </c>
      <c r="K420" s="115">
        <v>58.41</v>
      </c>
      <c r="L420" s="115">
        <v>30000</v>
      </c>
      <c r="M420" s="181"/>
      <c r="N420" s="181"/>
      <c r="O420" s="431">
        <v>10500</v>
      </c>
      <c r="P420" s="115">
        <v>613305</v>
      </c>
      <c r="Q420" s="115" t="s">
        <v>56</v>
      </c>
      <c r="R420" s="115">
        <v>613305</v>
      </c>
      <c r="S420" s="115"/>
      <c r="T420" s="115" t="s">
        <v>47</v>
      </c>
      <c r="U420" s="115"/>
      <c r="V420" s="133"/>
      <c r="W420" s="133">
        <v>3796</v>
      </c>
      <c r="X420" s="133">
        <v>550</v>
      </c>
      <c r="Y420" s="115"/>
      <c r="Z420" s="115" t="s">
        <v>48</v>
      </c>
      <c r="AA420" s="133"/>
      <c r="AB420" s="115"/>
      <c r="AC420" s="115"/>
      <c r="AD420" s="115"/>
      <c r="AE420" s="115"/>
      <c r="AF420" s="291"/>
      <c r="AG420" s="246">
        <v>43305</v>
      </c>
      <c r="AH420" s="133">
        <f>AJ420</f>
        <v>617651</v>
      </c>
      <c r="AI420" s="289">
        <f t="shared" si="128"/>
        <v>617651</v>
      </c>
      <c r="AJ420" s="132">
        <f t="shared" si="129"/>
        <v>617651</v>
      </c>
      <c r="AK420" s="289">
        <f t="shared" si="130"/>
        <v>0</v>
      </c>
      <c r="AL420" s="176"/>
      <c r="AM420" s="133" t="s">
        <v>886</v>
      </c>
      <c r="AN420" s="246">
        <v>44864</v>
      </c>
      <c r="AO420" s="259"/>
      <c r="AP420" s="96"/>
      <c r="AQ420" s="96"/>
      <c r="AR420" s="96"/>
    </row>
    <row r="421" s="93" customFormat="1" customHeight="1" spans="1:44">
      <c r="A421" s="106" t="s">
        <v>1544</v>
      </c>
      <c r="B421" s="115" t="s">
        <v>1545</v>
      </c>
      <c r="C421" s="546" t="s">
        <v>1546</v>
      </c>
      <c r="D421" s="193" t="str">
        <f t="shared" si="121"/>
        <v>孙淑玉410103196010033745</v>
      </c>
      <c r="E421" s="115">
        <v>15537167018</v>
      </c>
      <c r="F421" s="291"/>
      <c r="G421" s="115">
        <v>3</v>
      </c>
      <c r="H421" s="115">
        <v>23</v>
      </c>
      <c r="I421" s="115"/>
      <c r="J421" s="115">
        <v>2324</v>
      </c>
      <c r="K421" s="115">
        <v>58.01</v>
      </c>
      <c r="L421" s="115">
        <v>30000</v>
      </c>
      <c r="M421" s="181"/>
      <c r="N421" s="181"/>
      <c r="O421" s="431">
        <v>14040.65</v>
      </c>
      <c r="P421" s="115">
        <v>814498</v>
      </c>
      <c r="Q421" s="115" t="s">
        <v>56</v>
      </c>
      <c r="R421" s="115">
        <v>814498</v>
      </c>
      <c r="S421" s="115"/>
      <c r="T421" s="115" t="s">
        <v>47</v>
      </c>
      <c r="U421" s="115"/>
      <c r="V421" s="133"/>
      <c r="W421" s="133">
        <v>3770</v>
      </c>
      <c r="X421" s="133">
        <v>550</v>
      </c>
      <c r="Y421" s="115"/>
      <c r="Z421" s="115" t="s">
        <v>48</v>
      </c>
      <c r="AA421" s="133"/>
      <c r="AB421" s="115"/>
      <c r="AC421" s="115"/>
      <c r="AD421" s="115"/>
      <c r="AE421" s="115"/>
      <c r="AF421" s="291"/>
      <c r="AG421" s="246">
        <v>43406</v>
      </c>
      <c r="AH421" s="133"/>
      <c r="AI421" s="289">
        <f t="shared" si="128"/>
        <v>818818</v>
      </c>
      <c r="AJ421" s="132">
        <f t="shared" si="129"/>
        <v>818818</v>
      </c>
      <c r="AK421" s="289">
        <f t="shared" si="130"/>
        <v>0</v>
      </c>
      <c r="AL421" s="176"/>
      <c r="AM421" s="133" t="s">
        <v>886</v>
      </c>
      <c r="AN421" s="246">
        <v>44864</v>
      </c>
      <c r="AO421" s="259"/>
      <c r="AP421" s="96"/>
      <c r="AQ421" s="96"/>
      <c r="AR421" s="96"/>
    </row>
    <row r="422" s="94" customFormat="1" customHeight="1" spans="1:44">
      <c r="A422" s="106" t="s">
        <v>1547</v>
      </c>
      <c r="B422" s="115" t="s">
        <v>1548</v>
      </c>
      <c r="C422" s="193" t="s">
        <v>1549</v>
      </c>
      <c r="D422" s="193" t="str">
        <f t="shared" si="121"/>
        <v>文付军410223197903017510</v>
      </c>
      <c r="E422" s="115">
        <v>13937153420</v>
      </c>
      <c r="F422" s="291"/>
      <c r="G422" s="115">
        <v>3</v>
      </c>
      <c r="H422" s="115">
        <v>22</v>
      </c>
      <c r="I422" s="115"/>
      <c r="J422" s="115">
        <v>2222</v>
      </c>
      <c r="K422" s="115">
        <v>64.29</v>
      </c>
      <c r="L422" s="115">
        <v>30000</v>
      </c>
      <c r="M422" s="181"/>
      <c r="N422" s="181"/>
      <c r="O422" s="431">
        <v>14886.27</v>
      </c>
      <c r="P422" s="115">
        <v>957038</v>
      </c>
      <c r="Q422" s="115" t="s">
        <v>66</v>
      </c>
      <c r="R422" s="115">
        <v>487038</v>
      </c>
      <c r="S422" s="115"/>
      <c r="T422" s="115">
        <v>470000</v>
      </c>
      <c r="U422" s="115"/>
      <c r="V422" s="133"/>
      <c r="W422" s="133">
        <v>4178</v>
      </c>
      <c r="X422" s="133">
        <v>550</v>
      </c>
      <c r="Y422" s="115"/>
      <c r="Z422" s="115"/>
      <c r="AA422" s="133"/>
      <c r="AB422" s="115"/>
      <c r="AC422" s="115"/>
      <c r="AD422" s="115"/>
      <c r="AE422" s="115"/>
      <c r="AF422" s="291"/>
      <c r="AG422" s="246">
        <v>43291</v>
      </c>
      <c r="AH422" s="133">
        <f>AJ422-140000</f>
        <v>351766</v>
      </c>
      <c r="AI422" s="289">
        <f t="shared" si="128"/>
        <v>491766</v>
      </c>
      <c r="AJ422" s="132">
        <f t="shared" si="129"/>
        <v>491766</v>
      </c>
      <c r="AK422" s="289">
        <f t="shared" si="130"/>
        <v>0</v>
      </c>
      <c r="AL422" s="176"/>
      <c r="AM422" s="133" t="s">
        <v>886</v>
      </c>
      <c r="AN422" s="246">
        <v>44864</v>
      </c>
      <c r="AO422" s="259"/>
      <c r="AP422" s="96"/>
      <c r="AQ422" s="96"/>
      <c r="AR422" s="96"/>
    </row>
    <row r="423" s="93" customFormat="1" customHeight="1" spans="1:44">
      <c r="A423" s="106" t="s">
        <v>1550</v>
      </c>
      <c r="B423" s="115" t="s">
        <v>1551</v>
      </c>
      <c r="C423" s="193" t="s">
        <v>1552</v>
      </c>
      <c r="D423" s="193" t="str">
        <f t="shared" si="121"/>
        <v>杨利霞410381196506252562</v>
      </c>
      <c r="E423" s="115">
        <v>18703649727</v>
      </c>
      <c r="F423" s="291"/>
      <c r="G423" s="115">
        <v>3</v>
      </c>
      <c r="H423" s="115">
        <v>10</v>
      </c>
      <c r="I423" s="115"/>
      <c r="J423" s="115">
        <v>1032</v>
      </c>
      <c r="K423" s="115">
        <v>55.78</v>
      </c>
      <c r="L423" s="115">
        <v>20000</v>
      </c>
      <c r="M423" s="181"/>
      <c r="N423" s="181"/>
      <c r="O423" s="431">
        <v>9883.27</v>
      </c>
      <c r="P423" s="115">
        <v>551289</v>
      </c>
      <c r="Q423" s="115" t="s">
        <v>66</v>
      </c>
      <c r="R423" s="115">
        <v>281289</v>
      </c>
      <c r="S423" s="115"/>
      <c r="T423" s="115" t="s">
        <v>47</v>
      </c>
      <c r="U423" s="115"/>
      <c r="V423" s="133">
        <v>270000</v>
      </c>
      <c r="W423" s="133">
        <v>3625</v>
      </c>
      <c r="X423" s="133">
        <v>550</v>
      </c>
      <c r="Y423" s="115"/>
      <c r="Z423" s="115" t="s">
        <v>48</v>
      </c>
      <c r="AA423" s="133"/>
      <c r="AB423" s="115">
        <v>1577</v>
      </c>
      <c r="AC423" s="115"/>
      <c r="AD423" s="115"/>
      <c r="AE423" s="115"/>
      <c r="AF423" s="291"/>
      <c r="AG423" s="246">
        <v>43320</v>
      </c>
      <c r="AH423" s="133">
        <f>R423+W423+X423</f>
        <v>285464</v>
      </c>
      <c r="AI423" s="289">
        <f t="shared" si="128"/>
        <v>557041</v>
      </c>
      <c r="AJ423" s="132">
        <f t="shared" si="129"/>
        <v>555464</v>
      </c>
      <c r="AK423" s="289">
        <f t="shared" si="130"/>
        <v>1577</v>
      </c>
      <c r="AL423" s="176" t="s">
        <v>1553</v>
      </c>
      <c r="AM423" s="133" t="s">
        <v>886</v>
      </c>
      <c r="AN423" s="246">
        <v>44864</v>
      </c>
      <c r="AO423" s="259"/>
      <c r="AP423" s="96"/>
      <c r="AQ423" s="96"/>
      <c r="AR423" s="96"/>
    </row>
    <row r="424" s="93" customFormat="1" customHeight="1" spans="1:44">
      <c r="A424" s="115" t="s">
        <v>1554</v>
      </c>
      <c r="B424" s="107" t="s">
        <v>1555</v>
      </c>
      <c r="C424" s="406" t="s">
        <v>1556</v>
      </c>
      <c r="D424" s="193" t="str">
        <f t="shared" si="121"/>
        <v>杨青410103196705092469</v>
      </c>
      <c r="E424" s="166" t="s">
        <v>1557</v>
      </c>
      <c r="F424" s="156"/>
      <c r="G424" s="115">
        <v>3</v>
      </c>
      <c r="H424" s="115">
        <v>5</v>
      </c>
      <c r="I424" s="115"/>
      <c r="J424" s="115">
        <v>535</v>
      </c>
      <c r="K424" s="115">
        <v>43.07</v>
      </c>
      <c r="L424" s="115">
        <v>20000</v>
      </c>
      <c r="M424" s="115"/>
      <c r="N424" s="115"/>
      <c r="O424" s="431">
        <v>7483.49965189139</v>
      </c>
      <c r="P424" s="445">
        <v>322314</v>
      </c>
      <c r="Q424" s="464" t="s">
        <v>56</v>
      </c>
      <c r="R424" s="465">
        <v>322314</v>
      </c>
      <c r="S424" s="465"/>
      <c r="T424" s="466" t="s">
        <v>47</v>
      </c>
      <c r="U424" s="466"/>
      <c r="V424" s="466"/>
      <c r="W424" s="466">
        <v>2799</v>
      </c>
      <c r="X424" s="466">
        <v>550</v>
      </c>
      <c r="Y424" s="466"/>
      <c r="Z424" s="83" t="s">
        <v>48</v>
      </c>
      <c r="AA424" s="294"/>
      <c r="AB424" s="83">
        <v>375600</v>
      </c>
      <c r="AC424" s="83"/>
      <c r="AD424" s="83"/>
      <c r="AE424" s="83"/>
      <c r="AF424" s="467"/>
      <c r="AG424" s="294">
        <v>43839</v>
      </c>
      <c r="AH424" s="407"/>
      <c r="AI424" s="289">
        <f t="shared" ref="AI424:AI430" si="131">R424+V424+W424+X424+AA424+AB424+AC424+AD424</f>
        <v>701263</v>
      </c>
      <c r="AJ424" s="132">
        <f t="shared" ref="AJ424:AJ429" si="132">R424+W424+V424+X424+AA424</f>
        <v>325663</v>
      </c>
      <c r="AK424" s="289">
        <f t="shared" ref="AK424:AK429" si="133">AI424-AJ424</f>
        <v>375600</v>
      </c>
      <c r="AL424" s="471" t="s">
        <v>1558</v>
      </c>
      <c r="AM424" s="133" t="s">
        <v>900</v>
      </c>
      <c r="AN424" s="246">
        <v>44886</v>
      </c>
      <c r="AO424" s="288"/>
      <c r="AP424" s="422"/>
      <c r="AQ424" s="422"/>
      <c r="AR424" s="422"/>
    </row>
    <row r="425" s="93" customFormat="1" customHeight="1" spans="1:41">
      <c r="A425" s="106" t="s">
        <v>1559</v>
      </c>
      <c r="B425" s="106" t="s">
        <v>1560</v>
      </c>
      <c r="C425" s="194" t="s">
        <v>1561</v>
      </c>
      <c r="D425" s="193" t="str">
        <f t="shared" si="121"/>
        <v>张蓝井410103199406100020</v>
      </c>
      <c r="E425" s="106" t="s">
        <v>1562</v>
      </c>
      <c r="F425" s="453"/>
      <c r="G425" s="106">
        <v>9</v>
      </c>
      <c r="H425" s="106">
        <v>3</v>
      </c>
      <c r="I425" s="106">
        <v>16</v>
      </c>
      <c r="J425" s="106">
        <v>1603</v>
      </c>
      <c r="K425" s="106">
        <v>99.56</v>
      </c>
      <c r="L425" s="106">
        <v>8694</v>
      </c>
      <c r="M425" s="120"/>
      <c r="N425" s="120"/>
      <c r="O425" s="455">
        <v>8593.6</v>
      </c>
      <c r="P425" s="106">
        <v>855579</v>
      </c>
      <c r="Q425" s="106" t="s">
        <v>66</v>
      </c>
      <c r="R425" s="106">
        <v>275579</v>
      </c>
      <c r="S425" s="106"/>
      <c r="T425" s="106">
        <v>579999.777670838</v>
      </c>
      <c r="U425" s="106"/>
      <c r="V425" s="129"/>
      <c r="W425" s="129">
        <v>6471</v>
      </c>
      <c r="X425" s="129">
        <v>80</v>
      </c>
      <c r="Y425" s="106"/>
      <c r="Z425" s="106"/>
      <c r="AA425" s="129"/>
      <c r="AB425" s="106"/>
      <c r="AC425" s="106"/>
      <c r="AD425" s="106"/>
      <c r="AE425" s="106"/>
      <c r="AF425" s="453"/>
      <c r="AG425" s="290">
        <v>43092</v>
      </c>
      <c r="AH425" s="129">
        <f>AJ425</f>
        <v>282130</v>
      </c>
      <c r="AI425" s="289">
        <f t="shared" si="131"/>
        <v>282130</v>
      </c>
      <c r="AJ425" s="132">
        <f t="shared" si="132"/>
        <v>282130</v>
      </c>
      <c r="AK425" s="289">
        <f t="shared" si="133"/>
        <v>0</v>
      </c>
      <c r="AL425" s="350"/>
      <c r="AM425" s="133" t="s">
        <v>886</v>
      </c>
      <c r="AN425" s="246">
        <v>44864</v>
      </c>
      <c r="AO425" s="259"/>
    </row>
    <row r="426" s="93" customFormat="1" customHeight="1" spans="1:44">
      <c r="A426" s="106" t="s">
        <v>1563</v>
      </c>
      <c r="B426" s="115" t="s">
        <v>1564</v>
      </c>
      <c r="C426" s="193" t="s">
        <v>1565</v>
      </c>
      <c r="D426" s="193" t="str">
        <f t="shared" si="121"/>
        <v>郭琦372901197212301044</v>
      </c>
      <c r="E426" s="115">
        <v>13137941212</v>
      </c>
      <c r="F426" s="291"/>
      <c r="G426" s="115">
        <v>3</v>
      </c>
      <c r="H426" s="115">
        <v>8</v>
      </c>
      <c r="I426" s="115"/>
      <c r="J426" s="115">
        <v>820</v>
      </c>
      <c r="K426" s="115">
        <v>73.25</v>
      </c>
      <c r="L426" s="115">
        <v>20000</v>
      </c>
      <c r="M426" s="181"/>
      <c r="N426" s="181"/>
      <c r="O426" s="431">
        <v>8566.48</v>
      </c>
      <c r="P426" s="115">
        <v>627495</v>
      </c>
      <c r="Q426" s="115" t="s">
        <v>56</v>
      </c>
      <c r="R426" s="115">
        <v>627495</v>
      </c>
      <c r="S426" s="115"/>
      <c r="T426" s="115" t="s">
        <v>47</v>
      </c>
      <c r="U426" s="115"/>
      <c r="V426" s="133"/>
      <c r="W426" s="133">
        <v>4761</v>
      </c>
      <c r="X426" s="133">
        <v>550</v>
      </c>
      <c r="Y426" s="115"/>
      <c r="Z426" s="115" t="s">
        <v>48</v>
      </c>
      <c r="AA426" s="133"/>
      <c r="AB426" s="115"/>
      <c r="AC426" s="115"/>
      <c r="AD426" s="115"/>
      <c r="AE426" s="115"/>
      <c r="AF426" s="291"/>
      <c r="AG426" s="246">
        <v>43068</v>
      </c>
      <c r="AH426" s="133">
        <f>AJ426</f>
        <v>632806</v>
      </c>
      <c r="AI426" s="289">
        <f t="shared" si="131"/>
        <v>632806</v>
      </c>
      <c r="AJ426" s="132">
        <f t="shared" si="132"/>
        <v>632806</v>
      </c>
      <c r="AK426" s="289">
        <f t="shared" si="133"/>
        <v>0</v>
      </c>
      <c r="AL426" s="176"/>
      <c r="AM426" s="133" t="s">
        <v>886</v>
      </c>
      <c r="AN426" s="246">
        <v>44864</v>
      </c>
      <c r="AO426" s="259"/>
      <c r="AP426" s="96"/>
      <c r="AQ426" s="96"/>
      <c r="AR426" s="96"/>
    </row>
    <row r="427" s="93" customFormat="1" customHeight="1" spans="1:44">
      <c r="A427" s="106" t="s">
        <v>1566</v>
      </c>
      <c r="B427" s="115" t="s">
        <v>1567</v>
      </c>
      <c r="C427" s="193" t="s">
        <v>1568</v>
      </c>
      <c r="D427" s="193" t="str">
        <f t="shared" si="121"/>
        <v>魏巍410103198108223220</v>
      </c>
      <c r="E427" s="115" t="s">
        <v>1569</v>
      </c>
      <c r="F427" s="291"/>
      <c r="G427" s="115">
        <v>3</v>
      </c>
      <c r="H427" s="115">
        <v>7</v>
      </c>
      <c r="I427" s="115"/>
      <c r="J427" s="115">
        <v>707</v>
      </c>
      <c r="K427" s="115">
        <v>61.94</v>
      </c>
      <c r="L427" s="115">
        <v>20000</v>
      </c>
      <c r="M427" s="181"/>
      <c r="N427" s="181"/>
      <c r="O427" s="431">
        <v>9085.21</v>
      </c>
      <c r="P427" s="115">
        <v>562738</v>
      </c>
      <c r="Q427" s="115" t="s">
        <v>56</v>
      </c>
      <c r="R427" s="115">
        <v>562738</v>
      </c>
      <c r="S427" s="115"/>
      <c r="T427" s="115" t="s">
        <v>47</v>
      </c>
      <c r="U427" s="115"/>
      <c r="V427" s="133"/>
      <c r="W427" s="133">
        <v>4026</v>
      </c>
      <c r="X427" s="133">
        <v>550</v>
      </c>
      <c r="Y427" s="115"/>
      <c r="Z427" s="115" t="s">
        <v>48</v>
      </c>
      <c r="AA427" s="133"/>
      <c r="AB427" s="115">
        <v>3000</v>
      </c>
      <c r="AC427" s="115"/>
      <c r="AD427" s="115"/>
      <c r="AE427" s="115"/>
      <c r="AF427" s="291"/>
      <c r="AG427" s="246">
        <v>43092</v>
      </c>
      <c r="AH427" s="133">
        <f>AJ427-280000</f>
        <v>287314</v>
      </c>
      <c r="AI427" s="289">
        <f t="shared" si="131"/>
        <v>570314</v>
      </c>
      <c r="AJ427" s="132">
        <f t="shared" si="132"/>
        <v>567314</v>
      </c>
      <c r="AK427" s="289">
        <f t="shared" si="133"/>
        <v>3000</v>
      </c>
      <c r="AL427" s="176"/>
      <c r="AM427" s="133" t="s">
        <v>886</v>
      </c>
      <c r="AN427" s="246">
        <v>44864</v>
      </c>
      <c r="AO427" s="259"/>
      <c r="AP427" s="96"/>
      <c r="AQ427" s="96"/>
      <c r="AR427" s="96"/>
    </row>
    <row r="428" s="93" customFormat="1" customHeight="1" spans="1:41">
      <c r="A428" s="106" t="s">
        <v>1570</v>
      </c>
      <c r="B428" s="106" t="s">
        <v>1571</v>
      </c>
      <c r="C428" s="194" t="s">
        <v>1572</v>
      </c>
      <c r="D428" s="193" t="str">
        <f t="shared" si="121"/>
        <v>杨超、王睿410522197511215892、410503197611072543</v>
      </c>
      <c r="E428" s="106">
        <v>13937213339</v>
      </c>
      <c r="F428" s="453" t="s">
        <v>1573</v>
      </c>
      <c r="G428" s="106">
        <v>3</v>
      </c>
      <c r="H428" s="106">
        <v>28</v>
      </c>
      <c r="I428" s="106"/>
      <c r="J428" s="106">
        <v>2806</v>
      </c>
      <c r="K428" s="106">
        <v>61.66</v>
      </c>
      <c r="L428" s="106">
        <v>20000</v>
      </c>
      <c r="M428" s="120"/>
      <c r="N428" s="120"/>
      <c r="O428" s="455">
        <v>12950</v>
      </c>
      <c r="P428" s="106">
        <v>798497</v>
      </c>
      <c r="Q428" s="106" t="s">
        <v>66</v>
      </c>
      <c r="R428" s="106">
        <v>408497</v>
      </c>
      <c r="S428" s="106"/>
      <c r="T428" s="106">
        <v>390000</v>
      </c>
      <c r="U428" s="106"/>
      <c r="V428" s="129"/>
      <c r="W428" s="129">
        <v>4007</v>
      </c>
      <c r="X428" s="129">
        <v>560</v>
      </c>
      <c r="Y428" s="106"/>
      <c r="Z428" s="106" t="s">
        <v>48</v>
      </c>
      <c r="AA428" s="129"/>
      <c r="AB428" s="106">
        <v>2295</v>
      </c>
      <c r="AC428" s="106"/>
      <c r="AD428" s="106"/>
      <c r="AE428" s="106"/>
      <c r="AF428" s="453"/>
      <c r="AG428" s="290">
        <v>43807</v>
      </c>
      <c r="AH428" s="129"/>
      <c r="AI428" s="289">
        <f t="shared" si="131"/>
        <v>415359</v>
      </c>
      <c r="AJ428" s="132">
        <f t="shared" si="132"/>
        <v>413064</v>
      </c>
      <c r="AK428" s="289">
        <f t="shared" si="133"/>
        <v>2295</v>
      </c>
      <c r="AL428" s="350" t="s">
        <v>1574</v>
      </c>
      <c r="AM428" s="129" t="s">
        <v>886</v>
      </c>
      <c r="AN428" s="290">
        <v>44864</v>
      </c>
      <c r="AO428" s="458"/>
    </row>
    <row r="429" s="93" customFormat="1" customHeight="1" spans="1:41">
      <c r="A429" s="106" t="s">
        <v>1575</v>
      </c>
      <c r="B429" s="106" t="s">
        <v>1576</v>
      </c>
      <c r="C429" s="194" t="s">
        <v>1577</v>
      </c>
      <c r="D429" s="193" t="str">
        <f t="shared" si="121"/>
        <v>刘洋410104198910250046</v>
      </c>
      <c r="E429" s="106">
        <v>15136227212</v>
      </c>
      <c r="F429" s="453"/>
      <c r="G429" s="106">
        <v>3</v>
      </c>
      <c r="H429" s="106">
        <v>28</v>
      </c>
      <c r="I429" s="106"/>
      <c r="J429" s="106">
        <v>2834</v>
      </c>
      <c r="K429" s="106">
        <v>55.51</v>
      </c>
      <c r="L429" s="106">
        <v>20000</v>
      </c>
      <c r="M429" s="120"/>
      <c r="N429" s="120"/>
      <c r="O429" s="455">
        <v>13000</v>
      </c>
      <c r="P429" s="106">
        <v>721630</v>
      </c>
      <c r="Q429" s="106" t="s">
        <v>66</v>
      </c>
      <c r="R429" s="106">
        <v>361630</v>
      </c>
      <c r="S429" s="106"/>
      <c r="T429" s="106">
        <v>360000</v>
      </c>
      <c r="U429" s="106"/>
      <c r="V429" s="129"/>
      <c r="W429" s="129">
        <v>3608</v>
      </c>
      <c r="X429" s="129">
        <v>550</v>
      </c>
      <c r="Y429" s="106"/>
      <c r="Z429" s="106" t="s">
        <v>48</v>
      </c>
      <c r="AA429" s="129"/>
      <c r="AB429" s="106"/>
      <c r="AC429" s="106"/>
      <c r="AD429" s="106"/>
      <c r="AE429" s="106"/>
      <c r="AF429" s="453"/>
      <c r="AG429" s="290">
        <v>43068</v>
      </c>
      <c r="AH429" s="129">
        <f>AJ429</f>
        <v>365788</v>
      </c>
      <c r="AI429" s="289">
        <f t="shared" si="131"/>
        <v>365788</v>
      </c>
      <c r="AJ429" s="132">
        <f t="shared" si="132"/>
        <v>365788</v>
      </c>
      <c r="AK429" s="289">
        <f t="shared" si="133"/>
        <v>0</v>
      </c>
      <c r="AL429" s="350"/>
      <c r="AM429" s="133" t="s">
        <v>886</v>
      </c>
      <c r="AN429" s="246">
        <v>44864</v>
      </c>
      <c r="AO429" s="259"/>
    </row>
    <row r="430" s="93" customFormat="1" customHeight="1" spans="1:41">
      <c r="A430" s="346" t="s">
        <v>1578</v>
      </c>
      <c r="B430" s="106" t="s">
        <v>1579</v>
      </c>
      <c r="C430" s="194" t="s">
        <v>1580</v>
      </c>
      <c r="D430" s="193" t="str">
        <f t="shared" si="121"/>
        <v>李苒（更田冬莲）410104198909140026</v>
      </c>
      <c r="E430" s="120">
        <v>18738112868</v>
      </c>
      <c r="F430" s="453"/>
      <c r="G430" s="106">
        <v>3</v>
      </c>
      <c r="H430" s="106">
        <v>28</v>
      </c>
      <c r="I430" s="106"/>
      <c r="J430" s="106">
        <v>2803</v>
      </c>
      <c r="K430" s="106">
        <v>52.4</v>
      </c>
      <c r="L430" s="106">
        <v>20000</v>
      </c>
      <c r="M430" s="120"/>
      <c r="N430" s="120"/>
      <c r="O430" s="455">
        <v>13000</v>
      </c>
      <c r="P430" s="106">
        <v>681200</v>
      </c>
      <c r="Q430" s="106" t="s">
        <v>66</v>
      </c>
      <c r="R430" s="106">
        <v>346200</v>
      </c>
      <c r="S430" s="106"/>
      <c r="T430" s="106">
        <v>335000</v>
      </c>
      <c r="U430" s="106"/>
      <c r="V430" s="129"/>
      <c r="W430" s="129">
        <v>3406</v>
      </c>
      <c r="X430" s="129">
        <v>550</v>
      </c>
      <c r="Y430" s="106"/>
      <c r="Z430" s="106"/>
      <c r="AA430" s="129"/>
      <c r="AB430" s="106"/>
      <c r="AC430" s="106"/>
      <c r="AD430" s="106"/>
      <c r="AE430" s="106"/>
      <c r="AF430" s="453"/>
      <c r="AG430" s="290"/>
      <c r="AH430" s="129"/>
      <c r="AI430" s="289">
        <f t="shared" si="131"/>
        <v>350156</v>
      </c>
      <c r="AJ430" s="472"/>
      <c r="AK430" s="289"/>
      <c r="AL430" s="473" t="s">
        <v>1581</v>
      </c>
      <c r="AM430" s="129" t="s">
        <v>886</v>
      </c>
      <c r="AN430" s="290">
        <v>44864</v>
      </c>
      <c r="AO430" s="458"/>
    </row>
    <row r="431" s="93" customFormat="1" customHeight="1" spans="1:41">
      <c r="A431" s="106" t="s">
        <v>1582</v>
      </c>
      <c r="B431" s="106" t="s">
        <v>1583</v>
      </c>
      <c r="C431" s="194" t="s">
        <v>1584</v>
      </c>
      <c r="D431" s="193" t="str">
        <f t="shared" si="121"/>
        <v>巴伟光410103198310271314</v>
      </c>
      <c r="E431" s="106">
        <v>13333816699</v>
      </c>
      <c r="F431" s="453"/>
      <c r="G431" s="106">
        <v>6</v>
      </c>
      <c r="H431" s="106">
        <v>2</v>
      </c>
      <c r="I431" s="106">
        <v>6</v>
      </c>
      <c r="J431" s="106">
        <v>601</v>
      </c>
      <c r="K431" s="106">
        <v>109.13</v>
      </c>
      <c r="L431" s="106">
        <v>19930</v>
      </c>
      <c r="M431" s="120"/>
      <c r="N431" s="120"/>
      <c r="O431" s="455">
        <v>19701.27</v>
      </c>
      <c r="P431" s="106">
        <v>2150000</v>
      </c>
      <c r="Q431" s="106" t="s">
        <v>66</v>
      </c>
      <c r="R431" s="106">
        <v>645000</v>
      </c>
      <c r="S431" s="106"/>
      <c r="T431" s="106">
        <v>1504999.5951</v>
      </c>
      <c r="U431" s="106"/>
      <c r="V431" s="129"/>
      <c r="W431" s="129">
        <v>7093</v>
      </c>
      <c r="X431" s="129">
        <v>80</v>
      </c>
      <c r="Y431" s="106"/>
      <c r="Z431" s="106"/>
      <c r="AA431" s="129"/>
      <c r="AB431" s="106"/>
      <c r="AC431" s="106"/>
      <c r="AD431" s="106"/>
      <c r="AE431" s="106"/>
      <c r="AF431" s="453"/>
      <c r="AG431" s="290">
        <v>43286</v>
      </c>
      <c r="AH431" s="129">
        <f>AJ431</f>
        <v>652173</v>
      </c>
      <c r="AI431" s="289">
        <f t="shared" ref="AI430:AI436" si="134">R431+V431+W431+X431+AA431+AB431+AC431+AD431</f>
        <v>652173</v>
      </c>
      <c r="AJ431" s="289">
        <f t="shared" ref="AJ431:AJ436" si="135">R431+W431+V431+X431+AA431</f>
        <v>652173</v>
      </c>
      <c r="AK431" s="289">
        <f t="shared" ref="AK431:AK436" si="136">AI431-AJ431</f>
        <v>0</v>
      </c>
      <c r="AL431" s="350"/>
      <c r="AM431" s="133" t="s">
        <v>886</v>
      </c>
      <c r="AN431" s="246">
        <v>44864</v>
      </c>
      <c r="AO431" s="259"/>
    </row>
    <row r="432" s="93" customFormat="1" customHeight="1" spans="1:41">
      <c r="A432" s="106" t="s">
        <v>1585</v>
      </c>
      <c r="B432" s="106" t="s">
        <v>1586</v>
      </c>
      <c r="C432" s="194" t="s">
        <v>1587</v>
      </c>
      <c r="D432" s="193" t="str">
        <f t="shared" si="121"/>
        <v>陈卫丽410225198209131548</v>
      </c>
      <c r="E432" s="106">
        <v>13939067717</v>
      </c>
      <c r="F432" s="453" t="s">
        <v>1588</v>
      </c>
      <c r="G432" s="106">
        <v>3</v>
      </c>
      <c r="H432" s="106">
        <v>9</v>
      </c>
      <c r="I432" s="106"/>
      <c r="J432" s="106">
        <v>914</v>
      </c>
      <c r="K432" s="106">
        <v>75.81</v>
      </c>
      <c r="L432" s="106">
        <v>20000</v>
      </c>
      <c r="M432" s="120"/>
      <c r="N432" s="120"/>
      <c r="O432" s="455">
        <v>8422.65</v>
      </c>
      <c r="P432" s="106">
        <v>638521</v>
      </c>
      <c r="Q432" s="106" t="s">
        <v>66</v>
      </c>
      <c r="R432" s="106">
        <v>328521</v>
      </c>
      <c r="S432" s="106"/>
      <c r="T432" s="106">
        <v>310000</v>
      </c>
      <c r="U432" s="106"/>
      <c r="V432" s="129"/>
      <c r="W432" s="129">
        <v>4927</v>
      </c>
      <c r="X432" s="129">
        <v>550</v>
      </c>
      <c r="Y432" s="106"/>
      <c r="Z432" s="106" t="s">
        <v>48</v>
      </c>
      <c r="AA432" s="129"/>
      <c r="AB432" s="106"/>
      <c r="AC432" s="106"/>
      <c r="AD432" s="106"/>
      <c r="AE432" s="106"/>
      <c r="AF432" s="453"/>
      <c r="AG432" s="290">
        <v>44165</v>
      </c>
      <c r="AH432" s="129">
        <v>324998</v>
      </c>
      <c r="AI432" s="289">
        <f t="shared" si="134"/>
        <v>333998</v>
      </c>
      <c r="AJ432" s="289">
        <f t="shared" si="135"/>
        <v>333998</v>
      </c>
      <c r="AK432" s="289">
        <f t="shared" si="136"/>
        <v>0</v>
      </c>
      <c r="AL432" s="350" t="s">
        <v>1589</v>
      </c>
      <c r="AM432" s="133" t="s">
        <v>886</v>
      </c>
      <c r="AN432" s="246">
        <v>44864</v>
      </c>
      <c r="AO432" s="259"/>
    </row>
    <row r="433" s="93" customFormat="1" customHeight="1" spans="1:41">
      <c r="A433" s="106" t="s">
        <v>1590</v>
      </c>
      <c r="B433" s="106" t="s">
        <v>1591</v>
      </c>
      <c r="C433" s="194" t="s">
        <v>1592</v>
      </c>
      <c r="D433" s="193" t="str">
        <f t="shared" si="121"/>
        <v>赵雅娴410503198709275001</v>
      </c>
      <c r="E433" s="106" t="s">
        <v>1593</v>
      </c>
      <c r="F433" s="453" t="s">
        <v>1594</v>
      </c>
      <c r="G433" s="106">
        <v>11</v>
      </c>
      <c r="H433" s="106">
        <v>3</v>
      </c>
      <c r="I433" s="106">
        <v>30</v>
      </c>
      <c r="J433" s="106">
        <v>3002</v>
      </c>
      <c r="K433" s="106">
        <v>95.81</v>
      </c>
      <c r="L433" s="106">
        <v>19940</v>
      </c>
      <c r="M433" s="120"/>
      <c r="N433" s="120"/>
      <c r="O433" s="455">
        <v>12000</v>
      </c>
      <c r="P433" s="106">
        <v>1149720</v>
      </c>
      <c r="Q433" s="106" t="s">
        <v>56</v>
      </c>
      <c r="R433" s="106">
        <v>1149720</v>
      </c>
      <c r="S433" s="106"/>
      <c r="T433" s="106">
        <v>0</v>
      </c>
      <c r="U433" s="106"/>
      <c r="V433" s="129"/>
      <c r="W433" s="129"/>
      <c r="X433" s="129"/>
      <c r="Y433" s="106"/>
      <c r="Z433" s="106"/>
      <c r="AA433" s="129"/>
      <c r="AB433" s="106"/>
      <c r="AC433" s="106"/>
      <c r="AD433" s="106"/>
      <c r="AE433" s="106"/>
      <c r="AF433" s="453"/>
      <c r="AG433" s="290">
        <v>43022</v>
      </c>
      <c r="AH433" s="129">
        <f>AJ433</f>
        <v>1149720</v>
      </c>
      <c r="AI433" s="289">
        <f t="shared" si="134"/>
        <v>1149720</v>
      </c>
      <c r="AJ433" s="289">
        <f t="shared" si="135"/>
        <v>1149720</v>
      </c>
      <c r="AK433" s="289">
        <f t="shared" si="136"/>
        <v>0</v>
      </c>
      <c r="AL433" s="350"/>
      <c r="AM433" s="133" t="s">
        <v>886</v>
      </c>
      <c r="AN433" s="246">
        <v>44864</v>
      </c>
      <c r="AO433" s="259"/>
    </row>
    <row r="434" s="93" customFormat="1" customHeight="1" spans="1:41">
      <c r="A434" s="106" t="s">
        <v>1595</v>
      </c>
      <c r="B434" s="106" t="s">
        <v>1596</v>
      </c>
      <c r="C434" s="194" t="s">
        <v>1597</v>
      </c>
      <c r="D434" s="193" t="str">
        <f t="shared" si="121"/>
        <v>靳荣410803197312080021</v>
      </c>
      <c r="E434" s="106">
        <v>13733800027</v>
      </c>
      <c r="F434" s="453"/>
      <c r="G434" s="106">
        <v>3</v>
      </c>
      <c r="H434" s="106">
        <v>17</v>
      </c>
      <c r="I434" s="106"/>
      <c r="J434" s="106">
        <v>1701</v>
      </c>
      <c r="K434" s="106">
        <v>68.05</v>
      </c>
      <c r="L434" s="106">
        <v>20000</v>
      </c>
      <c r="M434" s="120"/>
      <c r="N434" s="120"/>
      <c r="O434" s="455">
        <v>13405</v>
      </c>
      <c r="P434" s="106">
        <v>912210</v>
      </c>
      <c r="Q434" s="106" t="s">
        <v>66</v>
      </c>
      <c r="R434" s="106">
        <v>464210</v>
      </c>
      <c r="S434" s="106"/>
      <c r="T434" s="106">
        <v>448000</v>
      </c>
      <c r="U434" s="106"/>
      <c r="V434" s="129"/>
      <c r="W434" s="129">
        <v>4423</v>
      </c>
      <c r="X434" s="129">
        <v>550</v>
      </c>
      <c r="Y434" s="106"/>
      <c r="Z434" s="106"/>
      <c r="AA434" s="129"/>
      <c r="AB434" s="106"/>
      <c r="AC434" s="106"/>
      <c r="AD434" s="106"/>
      <c r="AE434" s="106"/>
      <c r="AF434" s="453"/>
      <c r="AG434" s="290">
        <v>43809</v>
      </c>
      <c r="AH434" s="129"/>
      <c r="AI434" s="289">
        <f t="shared" si="134"/>
        <v>469183</v>
      </c>
      <c r="AJ434" s="289">
        <f t="shared" si="135"/>
        <v>469183</v>
      </c>
      <c r="AK434" s="289">
        <f t="shared" si="136"/>
        <v>0</v>
      </c>
      <c r="AL434" s="350"/>
      <c r="AM434" s="133" t="s">
        <v>886</v>
      </c>
      <c r="AN434" s="246">
        <v>44864</v>
      </c>
      <c r="AO434" s="259"/>
    </row>
    <row r="435" s="93" customFormat="1" customHeight="1" spans="1:41">
      <c r="A435" s="346" t="s">
        <v>1598</v>
      </c>
      <c r="B435" s="106" t="s">
        <v>1599</v>
      </c>
      <c r="C435" s="194" t="s">
        <v>1600</v>
      </c>
      <c r="D435" s="193" t="str">
        <f t="shared" si="121"/>
        <v>范春花410102196602032045</v>
      </c>
      <c r="E435" s="106">
        <v>17698088228</v>
      </c>
      <c r="F435" s="453"/>
      <c r="G435" s="106">
        <v>3</v>
      </c>
      <c r="H435" s="106">
        <v>14</v>
      </c>
      <c r="I435" s="106"/>
      <c r="J435" s="106">
        <v>1409</v>
      </c>
      <c r="K435" s="106">
        <v>62.31</v>
      </c>
      <c r="L435" s="106">
        <v>20000</v>
      </c>
      <c r="M435" s="120"/>
      <c r="N435" s="120"/>
      <c r="O435" s="455">
        <v>9132.8</v>
      </c>
      <c r="P435" s="106">
        <v>569065</v>
      </c>
      <c r="Q435" s="106" t="s">
        <v>66</v>
      </c>
      <c r="R435" s="106">
        <v>289065</v>
      </c>
      <c r="S435" s="106"/>
      <c r="T435" s="106">
        <v>280000</v>
      </c>
      <c r="U435" s="106"/>
      <c r="V435" s="129"/>
      <c r="W435" s="129">
        <v>4050</v>
      </c>
      <c r="X435" s="129">
        <v>550</v>
      </c>
      <c r="Y435" s="106"/>
      <c r="Z435" s="106" t="s">
        <v>48</v>
      </c>
      <c r="AA435" s="129"/>
      <c r="AB435" s="106"/>
      <c r="AC435" s="106"/>
      <c r="AD435" s="106"/>
      <c r="AE435" s="106"/>
      <c r="AF435" s="453"/>
      <c r="AG435" s="290"/>
      <c r="AH435" s="129"/>
      <c r="AI435" s="289">
        <f t="shared" si="134"/>
        <v>293665</v>
      </c>
      <c r="AJ435" s="472"/>
      <c r="AK435" s="289"/>
      <c r="AL435" s="473" t="s">
        <v>1601</v>
      </c>
      <c r="AM435" s="129" t="s">
        <v>886</v>
      </c>
      <c r="AN435" s="290">
        <v>44864</v>
      </c>
      <c r="AO435" s="458"/>
    </row>
    <row r="436" s="93" customFormat="1" customHeight="1" spans="1:41">
      <c r="A436" s="106" t="s">
        <v>1602</v>
      </c>
      <c r="B436" s="106" t="s">
        <v>1603</v>
      </c>
      <c r="C436" s="194" t="s">
        <v>1604</v>
      </c>
      <c r="D436" s="193" t="str">
        <f t="shared" si="121"/>
        <v>马莉媛410183199012120063</v>
      </c>
      <c r="E436" s="106" t="s">
        <v>1605</v>
      </c>
      <c r="F436" s="453"/>
      <c r="G436" s="106">
        <v>3</v>
      </c>
      <c r="H436" s="106">
        <v>16</v>
      </c>
      <c r="I436" s="106"/>
      <c r="J436" s="106">
        <v>1624</v>
      </c>
      <c r="K436" s="106">
        <v>58.01</v>
      </c>
      <c r="L436" s="106">
        <v>20000</v>
      </c>
      <c r="M436" s="120"/>
      <c r="N436" s="120"/>
      <c r="O436" s="455">
        <v>13545.57</v>
      </c>
      <c r="P436" s="106">
        <v>785779</v>
      </c>
      <c r="Q436" s="106" t="s">
        <v>66</v>
      </c>
      <c r="R436" s="106">
        <v>395779</v>
      </c>
      <c r="S436" s="106"/>
      <c r="T436" s="106">
        <v>390000</v>
      </c>
      <c r="U436" s="106"/>
      <c r="V436" s="129"/>
      <c r="W436" s="129">
        <v>3770</v>
      </c>
      <c r="X436" s="129">
        <v>550</v>
      </c>
      <c r="Y436" s="106"/>
      <c r="Z436" s="106"/>
      <c r="AA436" s="129"/>
      <c r="AB436" s="106"/>
      <c r="AC436" s="106"/>
      <c r="AD436" s="106"/>
      <c r="AE436" s="106"/>
      <c r="AF436" s="453"/>
      <c r="AG436" s="290">
        <v>42691</v>
      </c>
      <c r="AH436" s="129">
        <f>AJ436</f>
        <v>400099</v>
      </c>
      <c r="AI436" s="289">
        <f t="shared" si="134"/>
        <v>400099</v>
      </c>
      <c r="AJ436" s="289">
        <f t="shared" si="135"/>
        <v>400099</v>
      </c>
      <c r="AK436" s="289">
        <f t="shared" si="136"/>
        <v>0</v>
      </c>
      <c r="AL436" s="350" t="s">
        <v>1606</v>
      </c>
      <c r="AM436" s="133" t="s">
        <v>886</v>
      </c>
      <c r="AN436" s="246">
        <v>44864</v>
      </c>
      <c r="AO436" s="259"/>
    </row>
    <row r="437" s="93" customFormat="1" customHeight="1" spans="1:41">
      <c r="A437" s="106" t="s">
        <v>1607</v>
      </c>
      <c r="B437" s="106" t="s">
        <v>1608</v>
      </c>
      <c r="C437" s="194" t="s">
        <v>1609</v>
      </c>
      <c r="D437" s="193" t="str">
        <f t="shared" si="121"/>
        <v>王芳413001197504010024</v>
      </c>
      <c r="E437" s="106">
        <v>13633842279</v>
      </c>
      <c r="F437" s="453"/>
      <c r="G437" s="106">
        <v>2</v>
      </c>
      <c r="H437" s="106">
        <v>10</v>
      </c>
      <c r="I437" s="106"/>
      <c r="J437" s="106">
        <v>1012</v>
      </c>
      <c r="K437" s="106">
        <v>49.74</v>
      </c>
      <c r="L437" s="106">
        <v>20000</v>
      </c>
      <c r="M437" s="120"/>
      <c r="N437" s="120"/>
      <c r="O437" s="455">
        <v>9616.36</v>
      </c>
      <c r="P437" s="106">
        <v>478318</v>
      </c>
      <c r="Q437" s="106" t="s">
        <v>66</v>
      </c>
      <c r="R437" s="106">
        <v>223217</v>
      </c>
      <c r="S437" s="106"/>
      <c r="T437" s="106">
        <v>255101</v>
      </c>
      <c r="U437" s="106"/>
      <c r="V437" s="129"/>
      <c r="W437" s="129"/>
      <c r="X437" s="129"/>
      <c r="Y437" s="106"/>
      <c r="Z437" s="106"/>
      <c r="AA437" s="129"/>
      <c r="AB437" s="106"/>
      <c r="AC437" s="106"/>
      <c r="AD437" s="106"/>
      <c r="AE437" s="106"/>
      <c r="AF437" s="453"/>
      <c r="AG437" s="290">
        <v>42518</v>
      </c>
      <c r="AH437" s="129">
        <f>AJ437</f>
        <v>223217</v>
      </c>
      <c r="AI437" s="289">
        <f t="shared" ref="AI437:AI442" si="137">R437+V437+W437+X437+AA437+AB437+AC437+AD437</f>
        <v>223217</v>
      </c>
      <c r="AJ437" s="289">
        <f t="shared" ref="AJ437:AJ442" si="138">R437+W437+V437+X437+AA437</f>
        <v>223217</v>
      </c>
      <c r="AK437" s="289">
        <f t="shared" ref="AK437:AK442" si="139">AI437-AJ437</f>
        <v>0</v>
      </c>
      <c r="AL437" s="350"/>
      <c r="AM437" s="133" t="s">
        <v>886</v>
      </c>
      <c r="AN437" s="246">
        <v>44864</v>
      </c>
      <c r="AO437" s="259"/>
    </row>
    <row r="438" s="93" customFormat="1" customHeight="1" spans="1:41">
      <c r="A438" s="106" t="s">
        <v>1610</v>
      </c>
      <c r="B438" s="106" t="s">
        <v>1611</v>
      </c>
      <c r="C438" s="459" t="s">
        <v>1612</v>
      </c>
      <c r="D438" s="193" t="str">
        <f t="shared" si="121"/>
        <v>王均华 魏鹏41292219720613298X
411322199901102956</v>
      </c>
      <c r="E438" s="106" t="s">
        <v>1613</v>
      </c>
      <c r="F438" s="453"/>
      <c r="G438" s="106">
        <v>6</v>
      </c>
      <c r="H438" s="106">
        <v>1</v>
      </c>
      <c r="I438" s="106">
        <v>20</v>
      </c>
      <c r="J438" s="106">
        <v>2007</v>
      </c>
      <c r="K438" s="106">
        <v>86.33</v>
      </c>
      <c r="L438" s="106">
        <v>17900</v>
      </c>
      <c r="M438" s="120"/>
      <c r="N438" s="120"/>
      <c r="O438" s="455">
        <v>13800</v>
      </c>
      <c r="P438" s="106">
        <v>1191354</v>
      </c>
      <c r="Q438" s="106" t="s">
        <v>56</v>
      </c>
      <c r="R438" s="106">
        <v>1230960</v>
      </c>
      <c r="S438" s="106">
        <v>-39606</v>
      </c>
      <c r="T438" s="106"/>
      <c r="U438" s="106"/>
      <c r="V438" s="129"/>
      <c r="W438" s="129"/>
      <c r="X438" s="129"/>
      <c r="Y438" s="106"/>
      <c r="Z438" s="106"/>
      <c r="AA438" s="129"/>
      <c r="AB438" s="106"/>
      <c r="AC438" s="106"/>
      <c r="AD438" s="106"/>
      <c r="AE438" s="106"/>
      <c r="AF438" s="453"/>
      <c r="AG438" s="290">
        <v>43642</v>
      </c>
      <c r="AH438" s="129"/>
      <c r="AI438" s="289">
        <f t="shared" si="137"/>
        <v>1230960</v>
      </c>
      <c r="AJ438" s="289">
        <f t="shared" si="138"/>
        <v>1230960</v>
      </c>
      <c r="AK438" s="289">
        <f t="shared" si="139"/>
        <v>0</v>
      </c>
      <c r="AL438" s="350"/>
      <c r="AM438" s="133" t="s">
        <v>886</v>
      </c>
      <c r="AN438" s="246">
        <v>44864</v>
      </c>
      <c r="AO438" s="259"/>
    </row>
    <row r="439" s="93" customFormat="1" customHeight="1" spans="1:41">
      <c r="A439" s="106" t="s">
        <v>1614</v>
      </c>
      <c r="B439" s="106" t="s">
        <v>1615</v>
      </c>
      <c r="C439" s="459" t="s">
        <v>1616</v>
      </c>
      <c r="D439" s="193" t="str">
        <f t="shared" si="121"/>
        <v>薛相涛411403197809205714</v>
      </c>
      <c r="E439" s="106">
        <v>13592345442</v>
      </c>
      <c r="F439" s="453"/>
      <c r="G439" s="106">
        <v>3</v>
      </c>
      <c r="H439" s="106">
        <v>7</v>
      </c>
      <c r="I439" s="106"/>
      <c r="J439" s="106">
        <v>714</v>
      </c>
      <c r="K439" s="106">
        <v>75.81</v>
      </c>
      <c r="L439" s="106">
        <v>20000</v>
      </c>
      <c r="M439" s="120"/>
      <c r="N439" s="120"/>
      <c r="O439" s="455">
        <v>8350.68</v>
      </c>
      <c r="P439" s="106">
        <v>633065</v>
      </c>
      <c r="Q439" s="106" t="s">
        <v>56</v>
      </c>
      <c r="R439" s="106">
        <v>633763</v>
      </c>
      <c r="S439" s="106">
        <v>-698</v>
      </c>
      <c r="T439" s="106" t="s">
        <v>47</v>
      </c>
      <c r="U439" s="106"/>
      <c r="V439" s="129"/>
      <c r="W439" s="129">
        <v>4927</v>
      </c>
      <c r="X439" s="129">
        <v>550</v>
      </c>
      <c r="Y439" s="106"/>
      <c r="Z439" s="106" t="s">
        <v>48</v>
      </c>
      <c r="AA439" s="129"/>
      <c r="AB439" s="106"/>
      <c r="AC439" s="106"/>
      <c r="AD439" s="106"/>
      <c r="AE439" s="106"/>
      <c r="AF439" s="453"/>
      <c r="AG439" s="290">
        <v>43122</v>
      </c>
      <c r="AH439" s="129">
        <f>W439+X439</f>
        <v>5477</v>
      </c>
      <c r="AI439" s="289">
        <f t="shared" si="137"/>
        <v>639240</v>
      </c>
      <c r="AJ439" s="289">
        <f t="shared" si="138"/>
        <v>639240</v>
      </c>
      <c r="AK439" s="289">
        <f t="shared" si="139"/>
        <v>0</v>
      </c>
      <c r="AL439" s="350" t="s">
        <v>1617</v>
      </c>
      <c r="AM439" s="129" t="s">
        <v>886</v>
      </c>
      <c r="AN439" s="290">
        <v>44864</v>
      </c>
      <c r="AO439" s="458"/>
    </row>
    <row r="440" s="93" customFormat="1" customHeight="1" spans="1:41">
      <c r="A440" s="106" t="s">
        <v>1618</v>
      </c>
      <c r="B440" s="106" t="s">
        <v>1619</v>
      </c>
      <c r="C440" s="459" t="s">
        <v>1620</v>
      </c>
      <c r="D440" s="193" t="str">
        <f t="shared" si="121"/>
        <v>姜楠413028196809227211</v>
      </c>
      <c r="E440" s="106">
        <v>13838001597</v>
      </c>
      <c r="F440" s="453"/>
      <c r="G440" s="106">
        <v>6</v>
      </c>
      <c r="H440" s="106">
        <v>1</v>
      </c>
      <c r="I440" s="106">
        <v>24</v>
      </c>
      <c r="J440" s="106">
        <v>2408</v>
      </c>
      <c r="K440" s="106">
        <v>109.13</v>
      </c>
      <c r="L440" s="106">
        <v>17900</v>
      </c>
      <c r="M440" s="120"/>
      <c r="N440" s="120"/>
      <c r="O440" s="455">
        <v>15000</v>
      </c>
      <c r="P440" s="106">
        <v>1636950</v>
      </c>
      <c r="Q440" s="106" t="s">
        <v>46</v>
      </c>
      <c r="R440" s="106">
        <v>1436950</v>
      </c>
      <c r="S440" s="106"/>
      <c r="T440" s="106"/>
      <c r="U440" s="106"/>
      <c r="V440" s="129">
        <v>200000</v>
      </c>
      <c r="W440" s="129">
        <v>7093</v>
      </c>
      <c r="X440" s="129">
        <v>80</v>
      </c>
      <c r="Y440" s="106"/>
      <c r="Z440" s="106" t="s">
        <v>48</v>
      </c>
      <c r="AA440" s="129"/>
      <c r="AB440" s="106"/>
      <c r="AC440" s="106"/>
      <c r="AD440" s="106"/>
      <c r="AE440" s="106"/>
      <c r="AF440" s="453"/>
      <c r="AG440" s="290">
        <v>43225</v>
      </c>
      <c r="AH440" s="129">
        <f>X440+R440+W440</f>
        <v>1444123</v>
      </c>
      <c r="AI440" s="289">
        <f t="shared" si="137"/>
        <v>1644123</v>
      </c>
      <c r="AJ440" s="289">
        <f t="shared" si="138"/>
        <v>1644123</v>
      </c>
      <c r="AK440" s="289">
        <f t="shared" si="139"/>
        <v>0</v>
      </c>
      <c r="AL440" s="350"/>
      <c r="AM440" s="133" t="s">
        <v>886</v>
      </c>
      <c r="AN440" s="246">
        <v>44864</v>
      </c>
      <c r="AO440" s="259"/>
    </row>
    <row r="441" s="93" customFormat="1" customHeight="1" spans="1:44">
      <c r="A441" s="106" t="s">
        <v>1621</v>
      </c>
      <c r="B441" s="107" t="s">
        <v>1622</v>
      </c>
      <c r="C441" s="406" t="s">
        <v>1623</v>
      </c>
      <c r="D441" s="193" t="str">
        <f t="shared" si="121"/>
        <v>张启堡350102198403201937</v>
      </c>
      <c r="E441" s="166" t="s">
        <v>1624</v>
      </c>
      <c r="F441" s="156"/>
      <c r="G441" s="115">
        <v>3</v>
      </c>
      <c r="H441" s="115">
        <v>16</v>
      </c>
      <c r="I441" s="115"/>
      <c r="J441" s="115">
        <v>1635</v>
      </c>
      <c r="K441" s="115">
        <v>55.18</v>
      </c>
      <c r="L441" s="115">
        <v>30000</v>
      </c>
      <c r="M441" s="115"/>
      <c r="N441" s="115"/>
      <c r="O441" s="431">
        <v>14714.03</v>
      </c>
      <c r="P441" s="445">
        <v>811920</v>
      </c>
      <c r="Q441" s="464" t="s">
        <v>56</v>
      </c>
      <c r="R441" s="405">
        <v>811920</v>
      </c>
      <c r="S441" s="405"/>
      <c r="T441" s="466" t="s">
        <v>47</v>
      </c>
      <c r="U441" s="466"/>
      <c r="V441" s="466"/>
      <c r="W441" s="466">
        <v>3587</v>
      </c>
      <c r="X441" s="466">
        <v>550</v>
      </c>
      <c r="Y441" s="466"/>
      <c r="Z441" s="83" t="s">
        <v>48</v>
      </c>
      <c r="AA441" s="407">
        <v>30000</v>
      </c>
      <c r="AB441" s="83"/>
      <c r="AC441" s="83"/>
      <c r="AD441" s="83"/>
      <c r="AE441" s="83"/>
      <c r="AF441" s="467"/>
      <c r="AG441" s="247">
        <v>43426</v>
      </c>
      <c r="AH441" s="407">
        <v>30000</v>
      </c>
      <c r="AI441" s="289">
        <f t="shared" si="137"/>
        <v>846057</v>
      </c>
      <c r="AJ441" s="289">
        <f t="shared" si="138"/>
        <v>846057</v>
      </c>
      <c r="AK441" s="289">
        <f t="shared" si="139"/>
        <v>0</v>
      </c>
      <c r="AL441" s="350" t="s">
        <v>1625</v>
      </c>
      <c r="AM441" s="115" t="s">
        <v>974</v>
      </c>
      <c r="AN441" s="246">
        <v>44886</v>
      </c>
      <c r="AO441" s="259"/>
      <c r="AP441" s="202"/>
      <c r="AQ441" s="202"/>
      <c r="AR441" s="202"/>
    </row>
    <row r="442" s="93" customFormat="1" customHeight="1" spans="1:41">
      <c r="A442" s="106" t="s">
        <v>1626</v>
      </c>
      <c r="B442" s="106" t="s">
        <v>1627</v>
      </c>
      <c r="C442" s="459" t="s">
        <v>1628</v>
      </c>
      <c r="D442" s="193" t="str">
        <f t="shared" si="121"/>
        <v>赵蕾蕾410102199911070049</v>
      </c>
      <c r="E442" s="106" t="s">
        <v>1629</v>
      </c>
      <c r="F442" s="453"/>
      <c r="G442" s="106">
        <v>6</v>
      </c>
      <c r="H442" s="106">
        <v>1</v>
      </c>
      <c r="I442" s="106">
        <v>29</v>
      </c>
      <c r="J442" s="106">
        <v>2907</v>
      </c>
      <c r="K442" s="106">
        <v>86.33</v>
      </c>
      <c r="L442" s="106">
        <v>19460</v>
      </c>
      <c r="M442" s="120"/>
      <c r="N442" s="120"/>
      <c r="O442" s="455">
        <v>19344.38</v>
      </c>
      <c r="P442" s="106">
        <v>1670000</v>
      </c>
      <c r="Q442" s="106" t="s">
        <v>66</v>
      </c>
      <c r="R442" s="106">
        <v>510000</v>
      </c>
      <c r="S442" s="106"/>
      <c r="T442" s="106">
        <v>1160000</v>
      </c>
      <c r="U442" s="106"/>
      <c r="V442" s="129"/>
      <c r="W442" s="129">
        <v>5611</v>
      </c>
      <c r="X442" s="129">
        <v>80</v>
      </c>
      <c r="Y442" s="106"/>
      <c r="Z442" s="106"/>
      <c r="AA442" s="129"/>
      <c r="AB442" s="106"/>
      <c r="AC442" s="106"/>
      <c r="AD442" s="106"/>
      <c r="AE442" s="106"/>
      <c r="AF442" s="453"/>
      <c r="AG442" s="290">
        <v>43276</v>
      </c>
      <c r="AH442" s="129">
        <f>R442+W442+X442</f>
        <v>515691</v>
      </c>
      <c r="AI442" s="289">
        <f t="shared" si="137"/>
        <v>515691</v>
      </c>
      <c r="AJ442" s="289">
        <f t="shared" si="138"/>
        <v>515691</v>
      </c>
      <c r="AK442" s="289">
        <f t="shared" si="139"/>
        <v>0</v>
      </c>
      <c r="AL442" s="350" t="s">
        <v>1630</v>
      </c>
      <c r="AM442" s="133" t="s">
        <v>886</v>
      </c>
      <c r="AN442" s="246">
        <v>44864</v>
      </c>
      <c r="AO442" s="259"/>
    </row>
    <row r="443" s="93" customFormat="1" customHeight="1" spans="1:41">
      <c r="A443" s="106" t="s">
        <v>1631</v>
      </c>
      <c r="B443" s="106" t="s">
        <v>1632</v>
      </c>
      <c r="C443" s="459" t="s">
        <v>1633</v>
      </c>
      <c r="D443" s="193" t="str">
        <f t="shared" si="121"/>
        <v>宋三梅410105197901262880</v>
      </c>
      <c r="E443" s="106">
        <v>15093338922</v>
      </c>
      <c r="F443" s="453"/>
      <c r="G443" s="106">
        <v>9</v>
      </c>
      <c r="H443" s="106">
        <v>3</v>
      </c>
      <c r="I443" s="106">
        <v>26</v>
      </c>
      <c r="J443" s="106">
        <v>2603</v>
      </c>
      <c r="K443" s="106">
        <v>99.56</v>
      </c>
      <c r="L443" s="106">
        <v>8774</v>
      </c>
      <c r="M443" s="120"/>
      <c r="N443" s="120"/>
      <c r="O443" s="455">
        <v>8673.6</v>
      </c>
      <c r="P443" s="106">
        <v>863544</v>
      </c>
      <c r="Q443" s="106" t="s">
        <v>66</v>
      </c>
      <c r="R443" s="106">
        <v>273544</v>
      </c>
      <c r="S443" s="106"/>
      <c r="T443" s="106" t="s">
        <v>47</v>
      </c>
      <c r="U443" s="106"/>
      <c r="V443" s="129">
        <v>590000</v>
      </c>
      <c r="W443" s="129">
        <v>6471</v>
      </c>
      <c r="X443" s="129">
        <v>80</v>
      </c>
      <c r="Y443" s="106"/>
      <c r="Z443" s="106" t="s">
        <v>48</v>
      </c>
      <c r="AA443" s="129"/>
      <c r="AB443" s="106">
        <f>1279.8+12953.16</f>
        <v>14232.96</v>
      </c>
      <c r="AC443" s="106"/>
      <c r="AD443" s="106"/>
      <c r="AE443" s="106"/>
      <c r="AF443" s="453"/>
      <c r="AG443" s="290"/>
      <c r="AH443" s="129"/>
      <c r="AI443" s="289">
        <f t="shared" ref="AI443:AI452" si="140">R443+V443+W443+X443+AA443+AB443+AC443+AD443</f>
        <v>884327.96</v>
      </c>
      <c r="AJ443" s="289">
        <f t="shared" ref="AJ443:AJ452" si="141">R443+W443+V443+X443+AA443</f>
        <v>870095</v>
      </c>
      <c r="AK443" s="289">
        <f t="shared" ref="AK443:AK452" si="142">AI443-AJ443</f>
        <v>14232.96</v>
      </c>
      <c r="AL443" s="350" t="s">
        <v>1634</v>
      </c>
      <c r="AM443" s="129" t="s">
        <v>886</v>
      </c>
      <c r="AN443" s="290">
        <v>44864</v>
      </c>
      <c r="AO443" s="458"/>
    </row>
    <row r="444" s="93" customFormat="1" customHeight="1" spans="1:44">
      <c r="A444" s="106" t="s">
        <v>1635</v>
      </c>
      <c r="B444" s="339" t="s">
        <v>1636</v>
      </c>
      <c r="C444" s="460" t="s">
        <v>1637</v>
      </c>
      <c r="D444" s="193" t="str">
        <f t="shared" si="121"/>
        <v>刘炜410503198106241531</v>
      </c>
      <c r="E444" s="107">
        <v>15137193275</v>
      </c>
      <c r="F444" s="194"/>
      <c r="G444" s="106">
        <v>11</v>
      </c>
      <c r="H444" s="106">
        <v>3</v>
      </c>
      <c r="I444" s="106">
        <v>13</v>
      </c>
      <c r="J444" s="106">
        <v>1303</v>
      </c>
      <c r="K444" s="106">
        <v>151.44</v>
      </c>
      <c r="L444" s="106">
        <v>10000</v>
      </c>
      <c r="M444" s="106"/>
      <c r="N444" s="106"/>
      <c r="O444" s="447">
        <v>8500</v>
      </c>
      <c r="P444" s="106">
        <v>1287240</v>
      </c>
      <c r="Q444" s="106" t="s">
        <v>66</v>
      </c>
      <c r="R444" s="110">
        <v>1071000</v>
      </c>
      <c r="S444" s="110"/>
      <c r="T444" s="110">
        <v>216240</v>
      </c>
      <c r="U444" s="120"/>
      <c r="V444" s="106"/>
      <c r="W444" s="106"/>
      <c r="X444" s="106"/>
      <c r="Y444" s="106"/>
      <c r="Z444" s="106"/>
      <c r="AA444" s="290"/>
      <c r="AB444" s="106">
        <v>216240</v>
      </c>
      <c r="AC444" s="106"/>
      <c r="AD444" s="106"/>
      <c r="AE444" s="468"/>
      <c r="AF444" s="469"/>
      <c r="AG444" s="474">
        <v>42503</v>
      </c>
      <c r="AH444" s="475">
        <f>R444</f>
        <v>1071000</v>
      </c>
      <c r="AI444" s="289">
        <f t="shared" si="140"/>
        <v>1287240</v>
      </c>
      <c r="AJ444" s="289">
        <f t="shared" si="141"/>
        <v>1071000</v>
      </c>
      <c r="AK444" s="289">
        <f t="shared" si="142"/>
        <v>216240</v>
      </c>
      <c r="AL444" s="476" t="s">
        <v>1638</v>
      </c>
      <c r="AM444" s="129" t="s">
        <v>900</v>
      </c>
      <c r="AN444" s="290">
        <v>44865</v>
      </c>
      <c r="AO444" s="477"/>
      <c r="AP444" s="424"/>
      <c r="AQ444" s="424"/>
      <c r="AR444" s="424"/>
    </row>
    <row r="445" s="93" customFormat="1" customHeight="1" spans="1:44">
      <c r="A445" s="115" t="s">
        <v>1639</v>
      </c>
      <c r="B445" s="115" t="s">
        <v>1640</v>
      </c>
      <c r="C445" s="403" t="s">
        <v>1641</v>
      </c>
      <c r="D445" s="193" t="str">
        <f t="shared" si="121"/>
        <v>白玉彩410126198001062126</v>
      </c>
      <c r="E445" s="155" t="s">
        <v>1642</v>
      </c>
      <c r="F445" s="115"/>
      <c r="G445" s="239">
        <v>9</v>
      </c>
      <c r="H445" s="115">
        <v>3</v>
      </c>
      <c r="I445" s="115">
        <v>24</v>
      </c>
      <c r="J445" s="115">
        <v>2403</v>
      </c>
      <c r="K445" s="115">
        <v>99.56</v>
      </c>
      <c r="L445" s="115">
        <v>9092</v>
      </c>
      <c r="M445" s="115"/>
      <c r="N445" s="115"/>
      <c r="O445" s="461">
        <v>8729.6</v>
      </c>
      <c r="P445" s="445">
        <v>894273.02560154</v>
      </c>
      <c r="Q445" s="445" t="s">
        <v>66</v>
      </c>
      <c r="R445" s="445">
        <v>304273</v>
      </c>
      <c r="S445" s="445"/>
      <c r="T445" s="445">
        <v>590000</v>
      </c>
      <c r="U445" s="445"/>
      <c r="V445" s="115"/>
      <c r="W445" s="115">
        <v>6471</v>
      </c>
      <c r="X445" s="115">
        <v>80</v>
      </c>
      <c r="Y445" s="115"/>
      <c r="Z445" s="115"/>
      <c r="AA445" s="246"/>
      <c r="AB445" s="115">
        <v>1000</v>
      </c>
      <c r="AC445" s="83"/>
      <c r="AD445" s="83"/>
      <c r="AE445" s="83"/>
      <c r="AF445" s="467"/>
      <c r="AG445" s="294">
        <v>42074</v>
      </c>
      <c r="AH445" s="407"/>
      <c r="AI445" s="289">
        <f t="shared" si="140"/>
        <v>311824</v>
      </c>
      <c r="AJ445" s="289">
        <f t="shared" si="141"/>
        <v>310824</v>
      </c>
      <c r="AK445" s="289">
        <f t="shared" si="142"/>
        <v>1000</v>
      </c>
      <c r="AL445" s="471"/>
      <c r="AM445" s="133" t="s">
        <v>900</v>
      </c>
      <c r="AN445" s="246">
        <v>44886</v>
      </c>
      <c r="AO445" s="288"/>
      <c r="AP445" s="422"/>
      <c r="AQ445" s="422"/>
      <c r="AR445" s="422"/>
    </row>
    <row r="446" s="93" customFormat="1" customHeight="1" spans="1:44">
      <c r="A446" s="106" t="s">
        <v>1643</v>
      </c>
      <c r="B446" s="404" t="s">
        <v>1644</v>
      </c>
      <c r="C446" s="406" t="s">
        <v>1645</v>
      </c>
      <c r="D446" s="193" t="str">
        <f t="shared" si="121"/>
        <v>常建军410104196608160032</v>
      </c>
      <c r="E446" s="166" t="s">
        <v>1646</v>
      </c>
      <c r="F446" s="156"/>
      <c r="G446" s="155">
        <v>5</v>
      </c>
      <c r="H446" s="155"/>
      <c r="I446" s="155">
        <v>28</v>
      </c>
      <c r="J446" s="155">
        <v>2809</v>
      </c>
      <c r="K446" s="155">
        <v>58.08</v>
      </c>
      <c r="L446" s="155">
        <v>17900</v>
      </c>
      <c r="M446" s="155"/>
      <c r="N446" s="155"/>
      <c r="O446" s="462">
        <v>16300</v>
      </c>
      <c r="P446" s="155">
        <v>946704</v>
      </c>
      <c r="Q446" s="155" t="s">
        <v>56</v>
      </c>
      <c r="R446" s="155">
        <v>946704</v>
      </c>
      <c r="S446" s="176"/>
      <c r="T446" s="155">
        <v>0</v>
      </c>
      <c r="U446" s="155"/>
      <c r="V446" s="404"/>
      <c r="W446" s="404">
        <v>3775</v>
      </c>
      <c r="X446" s="404">
        <v>80</v>
      </c>
      <c r="Y446" s="404"/>
      <c r="Z446" s="404"/>
      <c r="AA446" s="470"/>
      <c r="AB446" s="404"/>
      <c r="AC446" s="404"/>
      <c r="AD446" s="404"/>
      <c r="AE446" s="181"/>
      <c r="AF446" s="181"/>
      <c r="AG446" s="247">
        <v>43308</v>
      </c>
      <c r="AH446" s="407"/>
      <c r="AI446" s="289">
        <f t="shared" si="140"/>
        <v>950559</v>
      </c>
      <c r="AJ446" s="289">
        <f t="shared" si="141"/>
        <v>950559</v>
      </c>
      <c r="AK446" s="289">
        <f t="shared" si="142"/>
        <v>0</v>
      </c>
      <c r="AL446" s="176"/>
      <c r="AM446" s="115" t="s">
        <v>974</v>
      </c>
      <c r="AN446" s="246">
        <v>44886</v>
      </c>
      <c r="AO446" s="259"/>
      <c r="AP446" s="421"/>
      <c r="AQ446" s="421"/>
      <c r="AR446" s="421"/>
    </row>
    <row r="447" s="93" customFormat="1" customHeight="1" spans="1:44">
      <c r="A447" s="115" t="s">
        <v>1647</v>
      </c>
      <c r="B447" s="155" t="s">
        <v>1648</v>
      </c>
      <c r="C447" s="406" t="s">
        <v>1649</v>
      </c>
      <c r="D447" s="193" t="str">
        <f t="shared" si="121"/>
        <v>崔文卓41072819891028002X</v>
      </c>
      <c r="E447" s="166" t="s">
        <v>1650</v>
      </c>
      <c r="F447" s="156" t="s">
        <v>1651</v>
      </c>
      <c r="G447" s="239">
        <v>6</v>
      </c>
      <c r="H447" s="115">
        <v>2</v>
      </c>
      <c r="I447" s="115">
        <v>26</v>
      </c>
      <c r="J447" s="115">
        <v>2601</v>
      </c>
      <c r="K447" s="115">
        <v>109.13</v>
      </c>
      <c r="L447" s="115">
        <v>19960</v>
      </c>
      <c r="M447" s="115"/>
      <c r="N447" s="115"/>
      <c r="O447" s="431">
        <v>10000</v>
      </c>
      <c r="P447" s="445">
        <v>1091300</v>
      </c>
      <c r="Q447" s="445" t="s">
        <v>66</v>
      </c>
      <c r="R447" s="115">
        <v>800000</v>
      </c>
      <c r="S447" s="115"/>
      <c r="T447" s="445">
        <v>291300</v>
      </c>
      <c r="U447" s="115"/>
      <c r="V447" s="83"/>
      <c r="W447" s="83"/>
      <c r="X447" s="83"/>
      <c r="Y447" s="83"/>
      <c r="Z447" s="83"/>
      <c r="AA447" s="294"/>
      <c r="AB447" s="83"/>
      <c r="AC447" s="83"/>
      <c r="AD447" s="83"/>
      <c r="AE447" s="83"/>
      <c r="AF447" s="467"/>
      <c r="AG447" s="294">
        <v>42160</v>
      </c>
      <c r="AH447" s="407">
        <f>R447</f>
        <v>800000</v>
      </c>
      <c r="AI447" s="289">
        <f t="shared" si="140"/>
        <v>800000</v>
      </c>
      <c r="AJ447" s="289">
        <f t="shared" si="141"/>
        <v>800000</v>
      </c>
      <c r="AK447" s="289">
        <f t="shared" si="142"/>
        <v>0</v>
      </c>
      <c r="AL447" s="471"/>
      <c r="AM447" s="133" t="s">
        <v>900</v>
      </c>
      <c r="AN447" s="246">
        <v>44865</v>
      </c>
      <c r="AO447" s="288"/>
      <c r="AP447" s="422"/>
      <c r="AQ447" s="422"/>
      <c r="AR447" s="422"/>
    </row>
    <row r="448" s="93" customFormat="1" customHeight="1" spans="1:44">
      <c r="A448" s="115" t="s">
        <v>1652</v>
      </c>
      <c r="B448" s="115" t="s">
        <v>1653</v>
      </c>
      <c r="C448" s="549" t="s">
        <v>1654</v>
      </c>
      <c r="D448" s="193" t="str">
        <f t="shared" si="121"/>
        <v>代钦润412821199802270016</v>
      </c>
      <c r="E448" s="155" t="s">
        <v>1655</v>
      </c>
      <c r="F448" s="115" t="s">
        <v>1656</v>
      </c>
      <c r="G448" s="115">
        <v>10</v>
      </c>
      <c r="H448" s="115">
        <v>2</v>
      </c>
      <c r="I448" s="115">
        <v>10</v>
      </c>
      <c r="J448" s="115">
        <v>1007</v>
      </c>
      <c r="K448" s="115">
        <v>99.52</v>
      </c>
      <c r="L448" s="115">
        <v>19720</v>
      </c>
      <c r="M448" s="115"/>
      <c r="N448" s="115"/>
      <c r="O448" s="431">
        <v>19522.8</v>
      </c>
      <c r="P448" s="239">
        <v>1942909</v>
      </c>
      <c r="Q448" s="464" t="s">
        <v>66</v>
      </c>
      <c r="R448" s="83">
        <v>600000</v>
      </c>
      <c r="S448" s="83"/>
      <c r="T448" s="464">
        <v>1342909</v>
      </c>
      <c r="U448" s="401"/>
      <c r="V448" s="83"/>
      <c r="W448" s="83"/>
      <c r="X448" s="83"/>
      <c r="Y448" s="83"/>
      <c r="Z448" s="83"/>
      <c r="AA448" s="294"/>
      <c r="AB448" s="83">
        <v>30000</v>
      </c>
      <c r="AC448" s="83"/>
      <c r="AD448" s="83"/>
      <c r="AE448" s="83"/>
      <c r="AF448" s="467"/>
      <c r="AG448" s="294">
        <v>43397</v>
      </c>
      <c r="AH448" s="407">
        <f>AB448+R448</f>
        <v>630000</v>
      </c>
      <c r="AI448" s="289">
        <f t="shared" si="140"/>
        <v>630000</v>
      </c>
      <c r="AJ448" s="289">
        <f t="shared" si="141"/>
        <v>600000</v>
      </c>
      <c r="AK448" s="289">
        <f t="shared" si="142"/>
        <v>30000</v>
      </c>
      <c r="AL448" s="471" t="s">
        <v>1657</v>
      </c>
      <c r="AM448" s="133" t="s">
        <v>900</v>
      </c>
      <c r="AN448" s="246">
        <v>44865</v>
      </c>
      <c r="AO448" s="288"/>
      <c r="AP448" s="422"/>
      <c r="AQ448" s="422"/>
      <c r="AR448" s="422"/>
    </row>
    <row r="449" s="93" customFormat="1" customHeight="1" spans="1:44">
      <c r="A449" s="106" t="s">
        <v>1658</v>
      </c>
      <c r="B449" s="107" t="s">
        <v>1659</v>
      </c>
      <c r="C449" s="406" t="s">
        <v>1660</v>
      </c>
      <c r="D449" s="193" t="str">
        <f t="shared" si="121"/>
        <v>杜良卿410422198708153954</v>
      </c>
      <c r="E449" s="166" t="s">
        <v>1661</v>
      </c>
      <c r="F449" s="156" t="s">
        <v>1662</v>
      </c>
      <c r="G449" s="115">
        <v>3</v>
      </c>
      <c r="H449" s="115">
        <v>11</v>
      </c>
      <c r="I449" s="115"/>
      <c r="J449" s="115">
        <v>1129</v>
      </c>
      <c r="K449" s="115">
        <v>57.45</v>
      </c>
      <c r="L449" s="115">
        <v>20000</v>
      </c>
      <c r="M449" s="115"/>
      <c r="N449" s="115"/>
      <c r="O449" s="431">
        <v>14743.25</v>
      </c>
      <c r="P449" s="445">
        <v>847000</v>
      </c>
      <c r="Q449" s="464" t="s">
        <v>66</v>
      </c>
      <c r="R449" s="484">
        <v>427000</v>
      </c>
      <c r="S449" s="484"/>
      <c r="T449" s="466">
        <v>420000</v>
      </c>
      <c r="U449" s="466"/>
      <c r="V449" s="405"/>
      <c r="W449" s="466">
        <v>3734</v>
      </c>
      <c r="X449" s="466">
        <v>550</v>
      </c>
      <c r="Y449" s="466"/>
      <c r="Z449" s="83" t="s">
        <v>48</v>
      </c>
      <c r="AA449" s="294"/>
      <c r="AB449" s="83">
        <v>1262</v>
      </c>
      <c r="AC449" s="83"/>
      <c r="AD449" s="83"/>
      <c r="AE449" s="83"/>
      <c r="AF449" s="467"/>
      <c r="AG449" s="247">
        <v>43279</v>
      </c>
      <c r="AH449" s="407"/>
      <c r="AI449" s="289">
        <f t="shared" si="140"/>
        <v>432546</v>
      </c>
      <c r="AJ449" s="289">
        <f t="shared" si="141"/>
        <v>431284</v>
      </c>
      <c r="AK449" s="289">
        <f t="shared" si="142"/>
        <v>1262</v>
      </c>
      <c r="AL449" s="176"/>
      <c r="AM449" s="115" t="s">
        <v>974</v>
      </c>
      <c r="AN449" s="246">
        <v>44886</v>
      </c>
      <c r="AO449" s="259"/>
      <c r="AP449" s="202"/>
      <c r="AQ449" s="202"/>
      <c r="AR449" s="202"/>
    </row>
    <row r="450" s="93" customFormat="1" customHeight="1" spans="1:44">
      <c r="A450" s="115" t="s">
        <v>1663</v>
      </c>
      <c r="B450" s="115" t="s">
        <v>1664</v>
      </c>
      <c r="C450" s="549" t="s">
        <v>1665</v>
      </c>
      <c r="D450" s="193" t="str">
        <f t="shared" si="121"/>
        <v>法永喜410121194410016550</v>
      </c>
      <c r="E450" s="175" t="s">
        <v>1666</v>
      </c>
      <c r="F450" s="115"/>
      <c r="G450" s="115">
        <v>10</v>
      </c>
      <c r="H450" s="115">
        <v>2</v>
      </c>
      <c r="I450" s="115">
        <v>17</v>
      </c>
      <c r="J450" s="115">
        <v>1707</v>
      </c>
      <c r="K450" s="115">
        <v>99.52</v>
      </c>
      <c r="L450" s="115">
        <v>19770</v>
      </c>
      <c r="M450" s="115"/>
      <c r="N450" s="115"/>
      <c r="O450" s="431">
        <v>19594.05</v>
      </c>
      <c r="P450" s="239">
        <v>1950000</v>
      </c>
      <c r="Q450" s="464" t="s">
        <v>56</v>
      </c>
      <c r="R450" s="83">
        <v>1950000</v>
      </c>
      <c r="S450" s="83"/>
      <c r="T450" s="464" t="s">
        <v>47</v>
      </c>
      <c r="U450" s="401"/>
      <c r="V450" s="83"/>
      <c r="W450" s="83">
        <v>6468</v>
      </c>
      <c r="X450" s="83">
        <v>80</v>
      </c>
      <c r="Y450" s="83"/>
      <c r="Z450" s="115" t="s">
        <v>48</v>
      </c>
      <c r="AA450" s="246"/>
      <c r="AB450" s="115"/>
      <c r="AC450" s="83"/>
      <c r="AD450" s="83"/>
      <c r="AE450" s="83"/>
      <c r="AF450" s="467"/>
      <c r="AG450" s="294">
        <v>43286</v>
      </c>
      <c r="AH450" s="407"/>
      <c r="AI450" s="289">
        <f t="shared" si="140"/>
        <v>1956548</v>
      </c>
      <c r="AJ450" s="289">
        <f t="shared" si="141"/>
        <v>1956548</v>
      </c>
      <c r="AK450" s="289">
        <f t="shared" si="142"/>
        <v>0</v>
      </c>
      <c r="AL450" s="471"/>
      <c r="AM450" s="133" t="s">
        <v>900</v>
      </c>
      <c r="AN450" s="246">
        <v>44865</v>
      </c>
      <c r="AO450" s="288"/>
      <c r="AP450" s="422"/>
      <c r="AQ450" s="422"/>
      <c r="AR450" s="422"/>
    </row>
    <row r="451" s="93" customFormat="1" customHeight="1" spans="1:44">
      <c r="A451" s="115" t="s">
        <v>1667</v>
      </c>
      <c r="B451" s="404" t="s">
        <v>1668</v>
      </c>
      <c r="C451" s="406" t="s">
        <v>1669</v>
      </c>
      <c r="D451" s="193" t="str">
        <f t="shared" ref="D451:D514" si="143">B451&amp;C451</f>
        <v>付似凤411502199610288047</v>
      </c>
      <c r="E451" s="155">
        <v>13699538142</v>
      </c>
      <c r="F451" s="115"/>
      <c r="G451" s="115">
        <v>2</v>
      </c>
      <c r="H451" s="115">
        <v>8</v>
      </c>
      <c r="I451" s="115"/>
      <c r="J451" s="115">
        <v>802</v>
      </c>
      <c r="K451" s="115">
        <v>45.41</v>
      </c>
      <c r="L451" s="239">
        <v>30000</v>
      </c>
      <c r="M451" s="239"/>
      <c r="N451" s="239"/>
      <c r="O451" s="431">
        <v>14241.8</v>
      </c>
      <c r="P451" s="239">
        <v>646720</v>
      </c>
      <c r="Q451" s="464" t="s">
        <v>56</v>
      </c>
      <c r="R451" s="83">
        <v>646720</v>
      </c>
      <c r="S451" s="83"/>
      <c r="T451" s="464">
        <v>0</v>
      </c>
      <c r="U451" s="83"/>
      <c r="V451" s="83"/>
      <c r="W451" s="83">
        <v>2951</v>
      </c>
      <c r="X451" s="83">
        <v>550</v>
      </c>
      <c r="Y451" s="83"/>
      <c r="Z451" s="83" t="s">
        <v>48</v>
      </c>
      <c r="AA451" s="294"/>
      <c r="AB451" s="83"/>
      <c r="AC451" s="83"/>
      <c r="AD451" s="83"/>
      <c r="AE451" s="83"/>
      <c r="AF451" s="467"/>
      <c r="AG451" s="294">
        <v>43315</v>
      </c>
      <c r="AH451" s="407">
        <f>R451+W451+X451</f>
        <v>650221</v>
      </c>
      <c r="AI451" s="289">
        <f t="shared" si="140"/>
        <v>650221</v>
      </c>
      <c r="AJ451" s="289">
        <f t="shared" si="141"/>
        <v>650221</v>
      </c>
      <c r="AK451" s="289">
        <f t="shared" si="142"/>
        <v>0</v>
      </c>
      <c r="AL451" s="471"/>
      <c r="AM451" s="133" t="s">
        <v>900</v>
      </c>
      <c r="AN451" s="246">
        <v>44865</v>
      </c>
      <c r="AO451" s="288"/>
      <c r="AP451" s="422"/>
      <c r="AQ451" s="422"/>
      <c r="AR451" s="422"/>
    </row>
    <row r="452" s="419" customFormat="1" customHeight="1" spans="1:44">
      <c r="A452" s="115" t="s">
        <v>1670</v>
      </c>
      <c r="B452" s="404" t="s">
        <v>1671</v>
      </c>
      <c r="C452" s="406" t="s">
        <v>1672</v>
      </c>
      <c r="D452" s="193" t="str">
        <f t="shared" si="143"/>
        <v>付月     范伟哲411502199006128020</v>
      </c>
      <c r="E452" s="155" t="s">
        <v>1673</v>
      </c>
      <c r="F452" s="115"/>
      <c r="G452" s="115">
        <v>2</v>
      </c>
      <c r="H452" s="115">
        <v>8</v>
      </c>
      <c r="I452" s="115"/>
      <c r="J452" s="115">
        <v>804</v>
      </c>
      <c r="K452" s="115">
        <v>45.17</v>
      </c>
      <c r="L452" s="239">
        <v>30000</v>
      </c>
      <c r="M452" s="239"/>
      <c r="N452" s="239"/>
      <c r="O452" s="431">
        <v>14241.31</v>
      </c>
      <c r="P452" s="239">
        <v>643280</v>
      </c>
      <c r="Q452" s="464" t="s">
        <v>56</v>
      </c>
      <c r="R452" s="83">
        <v>643280</v>
      </c>
      <c r="S452" s="83"/>
      <c r="T452" s="464">
        <v>0</v>
      </c>
      <c r="U452" s="83"/>
      <c r="V452" s="83"/>
      <c r="W452" s="83">
        <v>2936</v>
      </c>
      <c r="X452" s="83">
        <v>560</v>
      </c>
      <c r="Y452" s="83"/>
      <c r="Z452" s="83" t="s">
        <v>48</v>
      </c>
      <c r="AA452" s="294"/>
      <c r="AB452" s="83"/>
      <c r="AC452" s="83"/>
      <c r="AD452" s="83"/>
      <c r="AE452" s="83"/>
      <c r="AF452" s="467"/>
      <c r="AG452" s="294">
        <v>43315</v>
      </c>
      <c r="AH452" s="407"/>
      <c r="AI452" s="289">
        <f t="shared" si="140"/>
        <v>646776</v>
      </c>
      <c r="AJ452" s="289">
        <f t="shared" si="141"/>
        <v>646776</v>
      </c>
      <c r="AK452" s="289">
        <f t="shared" si="142"/>
        <v>0</v>
      </c>
      <c r="AL452" s="471"/>
      <c r="AM452" s="133" t="s">
        <v>900</v>
      </c>
      <c r="AN452" s="246">
        <v>44865</v>
      </c>
      <c r="AO452" s="288"/>
      <c r="AP452" s="422"/>
      <c r="AQ452" s="422"/>
      <c r="AR452" s="422"/>
    </row>
    <row r="453" s="202" customFormat="1" customHeight="1" spans="1:44">
      <c r="A453" s="337" t="s">
        <v>1674</v>
      </c>
      <c r="B453" s="107" t="s">
        <v>1675</v>
      </c>
      <c r="C453" s="406" t="s">
        <v>1676</v>
      </c>
      <c r="D453" s="193" t="str">
        <f t="shared" si="143"/>
        <v>韩小萍410928196612249667</v>
      </c>
      <c r="E453" s="166" t="s">
        <v>1677</v>
      </c>
      <c r="F453" s="156"/>
      <c r="G453" s="115">
        <v>3</v>
      </c>
      <c r="H453" s="115">
        <v>14</v>
      </c>
      <c r="I453" s="115"/>
      <c r="J453" s="115">
        <v>1423</v>
      </c>
      <c r="K453" s="115">
        <v>59.07</v>
      </c>
      <c r="L453" s="115">
        <v>20000</v>
      </c>
      <c r="M453" s="115"/>
      <c r="N453" s="115"/>
      <c r="O453" s="431">
        <v>9545.52680534416</v>
      </c>
      <c r="P453" s="445">
        <v>563854</v>
      </c>
      <c r="Q453" s="464" t="s">
        <v>66</v>
      </c>
      <c r="R453" s="484">
        <v>284854</v>
      </c>
      <c r="S453" s="484"/>
      <c r="T453" s="466">
        <v>279000</v>
      </c>
      <c r="U453" s="485"/>
      <c r="V453" s="405"/>
      <c r="W453" s="466">
        <v>3839</v>
      </c>
      <c r="X453" s="466">
        <v>550</v>
      </c>
      <c r="Y453" s="466"/>
      <c r="Z453" s="83" t="s">
        <v>48</v>
      </c>
      <c r="AA453" s="407"/>
      <c r="AB453" s="83"/>
      <c r="AC453" s="83"/>
      <c r="AD453" s="83"/>
      <c r="AE453" s="83"/>
      <c r="AF453" s="467"/>
      <c r="AG453" s="294">
        <v>42557</v>
      </c>
      <c r="AH453" s="407"/>
      <c r="AI453" s="289">
        <f t="shared" ref="AI453:AI457" si="144">R453+V453+W453+X453+AA453+AB453+AC453+AD453</f>
        <v>289243</v>
      </c>
      <c r="AJ453" s="341"/>
      <c r="AK453" s="289">
        <f t="shared" ref="AK453:AK457" si="145">AI453-AJ453</f>
        <v>289243</v>
      </c>
      <c r="AL453" s="451" t="s">
        <v>1678</v>
      </c>
      <c r="AM453" s="133" t="s">
        <v>900</v>
      </c>
      <c r="AN453" s="246">
        <v>44865</v>
      </c>
      <c r="AO453" s="288"/>
      <c r="AP453" s="422"/>
      <c r="AQ453" s="422"/>
      <c r="AR453" s="422"/>
    </row>
    <row r="454" s="202" customFormat="1" customHeight="1" spans="1:44">
      <c r="A454" s="115" t="s">
        <v>1679</v>
      </c>
      <c r="B454" s="115" t="s">
        <v>1680</v>
      </c>
      <c r="C454" s="156" t="s">
        <v>1681</v>
      </c>
      <c r="D454" s="193" t="str">
        <f t="shared" si="143"/>
        <v>李淑红410184197611181826</v>
      </c>
      <c r="E454" s="155">
        <v>15981931099</v>
      </c>
      <c r="F454" s="115"/>
      <c r="G454" s="239">
        <v>9</v>
      </c>
      <c r="H454" s="115">
        <v>3</v>
      </c>
      <c r="I454" s="115">
        <v>16</v>
      </c>
      <c r="J454" s="115">
        <v>1604</v>
      </c>
      <c r="K454" s="115">
        <v>94.65</v>
      </c>
      <c r="L454" s="115">
        <v>8718</v>
      </c>
      <c r="M454" s="115"/>
      <c r="N454" s="115"/>
      <c r="O454" s="431">
        <v>8617.6</v>
      </c>
      <c r="P454" s="239">
        <v>815656</v>
      </c>
      <c r="Q454" s="445" t="s">
        <v>46</v>
      </c>
      <c r="R454" s="239">
        <v>515656</v>
      </c>
      <c r="S454" s="239"/>
      <c r="T454" s="464" t="s">
        <v>47</v>
      </c>
      <c r="U454" s="464"/>
      <c r="V454" s="445">
        <v>300000</v>
      </c>
      <c r="W454" s="115">
        <v>6152</v>
      </c>
      <c r="X454" s="115">
        <v>80</v>
      </c>
      <c r="Y454" s="115"/>
      <c r="Z454" s="83" t="s">
        <v>48</v>
      </c>
      <c r="AA454" s="294"/>
      <c r="AB454" s="83">
        <v>1140</v>
      </c>
      <c r="AC454" s="83"/>
      <c r="AD454" s="83"/>
      <c r="AE454" s="83"/>
      <c r="AF454" s="467"/>
      <c r="AG454" s="294">
        <v>43095</v>
      </c>
      <c r="AH454" s="407">
        <f>W454+X454</f>
        <v>6232</v>
      </c>
      <c r="AI454" s="132">
        <f t="shared" si="144"/>
        <v>823028</v>
      </c>
      <c r="AJ454" s="132">
        <f t="shared" ref="AJ454:AJ457" si="146">R454+W454+V454+X454+AA454</f>
        <v>821888</v>
      </c>
      <c r="AK454" s="132">
        <f t="shared" si="145"/>
        <v>1140</v>
      </c>
      <c r="AL454" s="471"/>
      <c r="AM454" s="133" t="s">
        <v>900</v>
      </c>
      <c r="AN454" s="246">
        <v>44865</v>
      </c>
      <c r="AO454" s="288"/>
      <c r="AP454" s="422"/>
      <c r="AQ454" s="422"/>
      <c r="AR454" s="422"/>
    </row>
    <row r="455" s="202" customFormat="1" customHeight="1" spans="1:44">
      <c r="A455" s="115" t="s">
        <v>1682</v>
      </c>
      <c r="B455" s="107" t="s">
        <v>1683</v>
      </c>
      <c r="C455" s="406" t="s">
        <v>1684</v>
      </c>
      <c r="D455" s="193" t="str">
        <f t="shared" si="143"/>
        <v>林艳芳412323197407150061</v>
      </c>
      <c r="E455" s="166" t="s">
        <v>1685</v>
      </c>
      <c r="F455" s="156"/>
      <c r="G455" s="115">
        <v>3</v>
      </c>
      <c r="H455" s="115">
        <v>12</v>
      </c>
      <c r="I455" s="115"/>
      <c r="J455" s="115">
        <v>1202</v>
      </c>
      <c r="K455" s="115">
        <v>47.59</v>
      </c>
      <c r="L455" s="115">
        <v>20000</v>
      </c>
      <c r="M455" s="115"/>
      <c r="N455" s="115"/>
      <c r="O455" s="431">
        <v>10136.56</v>
      </c>
      <c r="P455" s="445">
        <v>482399</v>
      </c>
      <c r="Q455" s="464" t="s">
        <v>56</v>
      </c>
      <c r="R455" s="465">
        <v>482399</v>
      </c>
      <c r="S455" s="465"/>
      <c r="T455" s="466" t="s">
        <v>47</v>
      </c>
      <c r="U455" s="466"/>
      <c r="V455" s="466"/>
      <c r="W455" s="466">
        <v>3093</v>
      </c>
      <c r="X455" s="466">
        <v>550</v>
      </c>
      <c r="Y455" s="466"/>
      <c r="Z455" s="83" t="s">
        <v>48</v>
      </c>
      <c r="AA455" s="294"/>
      <c r="AB455" s="83"/>
      <c r="AC455" s="83"/>
      <c r="AD455" s="83"/>
      <c r="AE455" s="83"/>
      <c r="AF455" s="467"/>
      <c r="AG455" s="294">
        <v>42583</v>
      </c>
      <c r="AH455" s="407"/>
      <c r="AI455" s="132">
        <f t="shared" si="144"/>
        <v>486042</v>
      </c>
      <c r="AJ455" s="132">
        <f t="shared" si="146"/>
        <v>486042</v>
      </c>
      <c r="AK455" s="132">
        <f t="shared" si="145"/>
        <v>0</v>
      </c>
      <c r="AL455" s="471"/>
      <c r="AM455" s="133" t="s">
        <v>900</v>
      </c>
      <c r="AN455" s="246">
        <v>44865</v>
      </c>
      <c r="AO455" s="288"/>
      <c r="AP455" s="422"/>
      <c r="AQ455" s="422"/>
      <c r="AR455" s="422"/>
    </row>
    <row r="456" s="202" customFormat="1" customHeight="1" spans="1:44">
      <c r="A456" s="337" t="s">
        <v>1686</v>
      </c>
      <c r="B456" s="107" t="s">
        <v>1687</v>
      </c>
      <c r="C456" s="478" t="s">
        <v>1688</v>
      </c>
      <c r="D456" s="193" t="str">
        <f t="shared" si="143"/>
        <v>刘少杰410502198902023512</v>
      </c>
      <c r="E456" s="107">
        <v>15503729060</v>
      </c>
      <c r="F456" s="106"/>
      <c r="G456" s="109">
        <v>6</v>
      </c>
      <c r="H456" s="106">
        <v>1</v>
      </c>
      <c r="I456" s="106">
        <v>13</v>
      </c>
      <c r="J456" s="106">
        <v>1308</v>
      </c>
      <c r="K456" s="106">
        <v>109.13</v>
      </c>
      <c r="L456" s="106">
        <v>17900</v>
      </c>
      <c r="M456" s="106"/>
      <c r="N456" s="106"/>
      <c r="O456" s="455">
        <v>14500</v>
      </c>
      <c r="P456" s="445">
        <v>1582385</v>
      </c>
      <c r="Q456" s="486" t="s">
        <v>56</v>
      </c>
      <c r="R456" s="468">
        <v>1582385</v>
      </c>
      <c r="S456" s="468"/>
      <c r="T456" s="464" t="s">
        <v>47</v>
      </c>
      <c r="U456" s="468"/>
      <c r="V456" s="468"/>
      <c r="W456" s="468">
        <v>7093</v>
      </c>
      <c r="X456" s="468">
        <v>80</v>
      </c>
      <c r="Y456" s="468"/>
      <c r="Z456" s="83" t="s">
        <v>48</v>
      </c>
      <c r="AA456" s="294"/>
      <c r="AB456" s="83">
        <f>14858-80</f>
        <v>14778</v>
      </c>
      <c r="AC456" s="83"/>
      <c r="AD456" s="83"/>
      <c r="AE456" s="83"/>
      <c r="AF456" s="467"/>
      <c r="AG456" s="294">
        <v>43979</v>
      </c>
      <c r="AH456" s="407"/>
      <c r="AI456" s="132">
        <f t="shared" si="144"/>
        <v>1604336</v>
      </c>
      <c r="AJ456" s="341"/>
      <c r="AK456" s="132">
        <f t="shared" si="145"/>
        <v>1604336</v>
      </c>
      <c r="AL456" s="451" t="s">
        <v>1678</v>
      </c>
      <c r="AM456" s="133" t="s">
        <v>900</v>
      </c>
      <c r="AN456" s="246">
        <v>44865</v>
      </c>
      <c r="AO456" s="288"/>
      <c r="AP456" s="422"/>
      <c r="AQ456" s="422"/>
      <c r="AR456" s="422"/>
    </row>
    <row r="457" s="202" customFormat="1" customHeight="1" spans="1:45">
      <c r="A457" s="115" t="s">
        <v>1689</v>
      </c>
      <c r="B457" s="107" t="s">
        <v>1690</v>
      </c>
      <c r="C457" s="478" t="s">
        <v>1691</v>
      </c>
      <c r="D457" s="193" t="str">
        <f t="shared" si="143"/>
        <v>马振宇410901198111024514</v>
      </c>
      <c r="E457" s="107">
        <v>18739327111</v>
      </c>
      <c r="F457" s="106"/>
      <c r="G457" s="109">
        <v>3</v>
      </c>
      <c r="H457" s="106">
        <v>8</v>
      </c>
      <c r="I457" s="106"/>
      <c r="J457" s="106">
        <v>817</v>
      </c>
      <c r="K457" s="106">
        <v>68.25</v>
      </c>
      <c r="L457" s="106">
        <v>20000</v>
      </c>
      <c r="M457" s="106"/>
      <c r="N457" s="106"/>
      <c r="O457" s="455">
        <v>8888.85</v>
      </c>
      <c r="P457" s="445">
        <v>606664</v>
      </c>
      <c r="Q457" s="486" t="s">
        <v>66</v>
      </c>
      <c r="R457" s="468">
        <v>306664</v>
      </c>
      <c r="S457" s="468"/>
      <c r="T457" s="464">
        <v>300000</v>
      </c>
      <c r="U457" s="256"/>
      <c r="V457" s="468"/>
      <c r="W457" s="468">
        <v>4436</v>
      </c>
      <c r="X457" s="468">
        <v>550</v>
      </c>
      <c r="Y457" s="468"/>
      <c r="Z457" s="83"/>
      <c r="AA457" s="294"/>
      <c r="AB457" s="83"/>
      <c r="AC457" s="83"/>
      <c r="AD457" s="83"/>
      <c r="AE457" s="83"/>
      <c r="AF457" s="467"/>
      <c r="AG457" s="294">
        <v>43093</v>
      </c>
      <c r="AH457" s="407">
        <f>R457+W457</f>
        <v>311100</v>
      </c>
      <c r="AI457" s="132">
        <f t="shared" si="144"/>
        <v>311650</v>
      </c>
      <c r="AJ457" s="132">
        <f t="shared" si="146"/>
        <v>311650</v>
      </c>
      <c r="AK457" s="132">
        <f t="shared" si="145"/>
        <v>0</v>
      </c>
      <c r="AL457" s="471" t="s">
        <v>1692</v>
      </c>
      <c r="AM457" s="133" t="s">
        <v>900</v>
      </c>
      <c r="AN457" s="246">
        <v>44865</v>
      </c>
      <c r="AO457" s="422"/>
      <c r="AP457" s="422"/>
      <c r="AQ457" s="422"/>
      <c r="AR457" s="422"/>
      <c r="AS457" s="422"/>
    </row>
    <row r="458" s="202" customFormat="1" customHeight="1" spans="1:44">
      <c r="A458" s="115" t="s">
        <v>1693</v>
      </c>
      <c r="B458" s="404" t="s">
        <v>1694</v>
      </c>
      <c r="C458" s="406" t="s">
        <v>1695</v>
      </c>
      <c r="D458" s="193" t="str">
        <f t="shared" si="143"/>
        <v>卢志勇410121197811061532</v>
      </c>
      <c r="E458" s="155">
        <v>15981951228</v>
      </c>
      <c r="F458" s="115"/>
      <c r="G458" s="115">
        <v>2</v>
      </c>
      <c r="H458" s="115">
        <v>15</v>
      </c>
      <c r="I458" s="115"/>
      <c r="J458" s="115">
        <v>1505</v>
      </c>
      <c r="K458" s="115">
        <v>49.37</v>
      </c>
      <c r="L458" s="239">
        <v>30000</v>
      </c>
      <c r="M458" s="239"/>
      <c r="N458" s="239"/>
      <c r="O458" s="431">
        <v>14779.3</v>
      </c>
      <c r="P458" s="239">
        <v>729654</v>
      </c>
      <c r="Q458" s="464" t="s">
        <v>66</v>
      </c>
      <c r="R458" s="83">
        <v>369654</v>
      </c>
      <c r="S458" s="83"/>
      <c r="T458" s="464">
        <v>360000</v>
      </c>
      <c r="U458" s="83"/>
      <c r="V458" s="83"/>
      <c r="W458" s="83">
        <v>3209</v>
      </c>
      <c r="X458" s="83">
        <v>550</v>
      </c>
      <c r="Y458" s="83"/>
      <c r="Z458" s="83"/>
      <c r="AA458" s="294"/>
      <c r="AB458" s="83"/>
      <c r="AC458" s="83"/>
      <c r="AD458" s="83"/>
      <c r="AE458" s="83"/>
      <c r="AF458" s="467"/>
      <c r="AG458" s="294">
        <v>43286</v>
      </c>
      <c r="AH458" s="407">
        <f>R458+W458+X458</f>
        <v>373413</v>
      </c>
      <c r="AI458" s="132">
        <f t="shared" ref="AI458:AI466" si="147">R458+V458+W458+X458+AA458+AB458+AC458+AD458</f>
        <v>373413</v>
      </c>
      <c r="AJ458" s="132">
        <f t="shared" ref="AJ458:AJ466" si="148">R458+W458+V458+X458+AA458</f>
        <v>373413</v>
      </c>
      <c r="AK458" s="132">
        <f t="shared" ref="AK458:AK466" si="149">AI458-AJ458</f>
        <v>0</v>
      </c>
      <c r="AL458" s="471"/>
      <c r="AM458" s="133" t="s">
        <v>900</v>
      </c>
      <c r="AN458" s="246">
        <v>44865</v>
      </c>
      <c r="AO458" s="288"/>
      <c r="AP458" s="422"/>
      <c r="AQ458" s="422"/>
      <c r="AR458" s="422"/>
    </row>
    <row r="459" s="202" customFormat="1" customHeight="1" spans="1:44">
      <c r="A459" s="115" t="s">
        <v>1696</v>
      </c>
      <c r="B459" s="339" t="s">
        <v>1697</v>
      </c>
      <c r="C459" s="460" t="s">
        <v>1698</v>
      </c>
      <c r="D459" s="193" t="str">
        <f t="shared" si="143"/>
        <v>王秋颖41012619781026601x</v>
      </c>
      <c r="E459" s="107">
        <v>13603710925</v>
      </c>
      <c r="F459" s="194" t="s">
        <v>1699</v>
      </c>
      <c r="G459" s="106">
        <v>11</v>
      </c>
      <c r="H459" s="106">
        <v>3</v>
      </c>
      <c r="I459" s="106">
        <v>11</v>
      </c>
      <c r="J459" s="106">
        <v>1101</v>
      </c>
      <c r="K459" s="106">
        <v>149.28</v>
      </c>
      <c r="L459" s="106">
        <v>8934</v>
      </c>
      <c r="M459" s="106"/>
      <c r="N459" s="106"/>
      <c r="O459" s="447">
        <v>8834.4</v>
      </c>
      <c r="P459" s="106">
        <v>1318799</v>
      </c>
      <c r="Q459" s="339" t="s">
        <v>46</v>
      </c>
      <c r="R459" s="487">
        <v>718799</v>
      </c>
      <c r="S459" s="339"/>
      <c r="T459" s="339" t="s">
        <v>47</v>
      </c>
      <c r="U459" s="488"/>
      <c r="V459" s="339">
        <v>600000</v>
      </c>
      <c r="W459" s="339">
        <v>9703</v>
      </c>
      <c r="X459" s="339">
        <v>80</v>
      </c>
      <c r="Y459" s="339"/>
      <c r="Z459" s="490" t="s">
        <v>48</v>
      </c>
      <c r="AA459" s="492"/>
      <c r="AB459" s="490">
        <f>26375.98+1000</f>
        <v>27375.98</v>
      </c>
      <c r="AC459" s="83"/>
      <c r="AD459" s="83"/>
      <c r="AE459" s="83"/>
      <c r="AF459" s="467"/>
      <c r="AG459" s="294">
        <v>44049</v>
      </c>
      <c r="AH459" s="407"/>
      <c r="AI459" s="132">
        <f t="shared" si="147"/>
        <v>1355957.98</v>
      </c>
      <c r="AJ459" s="132">
        <f t="shared" si="148"/>
        <v>1328582</v>
      </c>
      <c r="AK459" s="132">
        <f t="shared" si="149"/>
        <v>27375.98</v>
      </c>
      <c r="AL459" s="471"/>
      <c r="AM459" s="133" t="s">
        <v>900</v>
      </c>
      <c r="AN459" s="246">
        <v>44865</v>
      </c>
      <c r="AO459" s="288"/>
      <c r="AP459" s="422"/>
      <c r="AQ459" s="422"/>
      <c r="AR459" s="422"/>
    </row>
    <row r="460" s="202" customFormat="1" customHeight="1" spans="1:44">
      <c r="A460" s="115" t="s">
        <v>1700</v>
      </c>
      <c r="B460" s="115" t="s">
        <v>1701</v>
      </c>
      <c r="C460" s="403" t="s">
        <v>1702</v>
      </c>
      <c r="D460" s="193" t="str">
        <f t="shared" si="143"/>
        <v>王阳410105198210110524</v>
      </c>
      <c r="E460" s="155">
        <v>13803711746</v>
      </c>
      <c r="F460" s="115"/>
      <c r="G460" s="239">
        <v>9</v>
      </c>
      <c r="H460" s="115">
        <v>3</v>
      </c>
      <c r="I460" s="115">
        <v>23</v>
      </c>
      <c r="J460" s="115">
        <v>2301</v>
      </c>
      <c r="K460" s="115">
        <v>93.4</v>
      </c>
      <c r="L460" s="115">
        <v>8814</v>
      </c>
      <c r="M460" s="115"/>
      <c r="N460" s="115"/>
      <c r="O460" s="431">
        <v>8713.6</v>
      </c>
      <c r="P460" s="239">
        <v>813850</v>
      </c>
      <c r="Q460" s="464" t="s">
        <v>56</v>
      </c>
      <c r="R460" s="464">
        <v>813850</v>
      </c>
      <c r="S460" s="464"/>
      <c r="T460" s="464" t="s">
        <v>47</v>
      </c>
      <c r="U460" s="464"/>
      <c r="V460" s="83"/>
      <c r="W460" s="83">
        <v>6071</v>
      </c>
      <c r="X460" s="83">
        <v>80</v>
      </c>
      <c r="Y460" s="83"/>
      <c r="Z460" s="83" t="s">
        <v>48</v>
      </c>
      <c r="AA460" s="294"/>
      <c r="AB460" s="83"/>
      <c r="AC460" s="83"/>
      <c r="AD460" s="83"/>
      <c r="AE460" s="83"/>
      <c r="AF460" s="467"/>
      <c r="AG460" s="294">
        <v>43133</v>
      </c>
      <c r="AH460" s="407"/>
      <c r="AI460" s="132">
        <f t="shared" si="147"/>
        <v>820001</v>
      </c>
      <c r="AJ460" s="132">
        <f t="shared" si="148"/>
        <v>820001</v>
      </c>
      <c r="AK460" s="132">
        <f t="shared" si="149"/>
        <v>0</v>
      </c>
      <c r="AL460" s="471"/>
      <c r="AM460" s="133" t="s">
        <v>900</v>
      </c>
      <c r="AN460" s="246">
        <v>44865</v>
      </c>
      <c r="AO460" s="288"/>
      <c r="AP460" s="422"/>
      <c r="AQ460" s="422"/>
      <c r="AR460" s="422"/>
    </row>
    <row r="461" s="96" customFormat="1" customHeight="1" spans="1:44">
      <c r="A461" s="115" t="s">
        <v>1703</v>
      </c>
      <c r="B461" s="115" t="s">
        <v>480</v>
      </c>
      <c r="C461" s="83" t="s">
        <v>1704</v>
      </c>
      <c r="D461" s="193" t="str">
        <f t="shared" si="143"/>
        <v>杨艳410503197401271042</v>
      </c>
      <c r="E461" s="155">
        <v>15837230037</v>
      </c>
      <c r="F461" s="115"/>
      <c r="G461" s="115">
        <v>10</v>
      </c>
      <c r="H461" s="115">
        <v>2</v>
      </c>
      <c r="I461" s="115">
        <v>22</v>
      </c>
      <c r="J461" s="115">
        <v>2207</v>
      </c>
      <c r="K461" s="115">
        <v>99.52</v>
      </c>
      <c r="L461" s="115">
        <v>19750</v>
      </c>
      <c r="M461" s="115"/>
      <c r="N461" s="115"/>
      <c r="O461" s="431">
        <v>15950</v>
      </c>
      <c r="P461" s="239">
        <v>1587344</v>
      </c>
      <c r="Q461" s="464" t="s">
        <v>66</v>
      </c>
      <c r="R461" s="83">
        <v>837344</v>
      </c>
      <c r="S461" s="83"/>
      <c r="T461" s="464" t="s">
        <v>47</v>
      </c>
      <c r="U461" s="401"/>
      <c r="V461" s="83">
        <v>750000</v>
      </c>
      <c r="W461" s="83">
        <v>6468</v>
      </c>
      <c r="X461" s="83">
        <v>80</v>
      </c>
      <c r="Y461" s="83"/>
      <c r="Z461" s="83" t="s">
        <v>48</v>
      </c>
      <c r="AA461" s="294"/>
      <c r="AB461" s="83">
        <f>230+1355</f>
        <v>1585</v>
      </c>
      <c r="AC461" s="83">
        <v>156385.15</v>
      </c>
      <c r="AD461" s="83"/>
      <c r="AE461" s="83"/>
      <c r="AF461" s="467"/>
      <c r="AG461" s="294">
        <v>43113</v>
      </c>
      <c r="AH461" s="407">
        <f>X461+W461</f>
        <v>6548</v>
      </c>
      <c r="AI461" s="132">
        <f t="shared" si="147"/>
        <v>1751862.15</v>
      </c>
      <c r="AJ461" s="132">
        <f t="shared" si="148"/>
        <v>1593892</v>
      </c>
      <c r="AK461" s="132">
        <f t="shared" si="149"/>
        <v>157970.15</v>
      </c>
      <c r="AL461" s="471"/>
      <c r="AM461" s="133" t="s">
        <v>900</v>
      </c>
      <c r="AN461" s="246">
        <v>44865</v>
      </c>
      <c r="AO461" s="288"/>
      <c r="AP461" s="422"/>
      <c r="AQ461" s="422"/>
      <c r="AR461" s="422"/>
    </row>
    <row r="462" s="202" customFormat="1" customHeight="1" spans="1:44">
      <c r="A462" s="115" t="s">
        <v>1705</v>
      </c>
      <c r="B462" s="479" t="s">
        <v>1706</v>
      </c>
      <c r="C462" s="480" t="s">
        <v>1707</v>
      </c>
      <c r="D462" s="193" t="str">
        <f t="shared" si="143"/>
        <v>张力生411102199411240014</v>
      </c>
      <c r="E462" s="166" t="s">
        <v>1708</v>
      </c>
      <c r="F462" s="156"/>
      <c r="G462" s="239">
        <v>6</v>
      </c>
      <c r="H462" s="115">
        <v>2</v>
      </c>
      <c r="I462" s="115">
        <v>13</v>
      </c>
      <c r="J462" s="115">
        <v>1301</v>
      </c>
      <c r="K462" s="115">
        <v>109.13</v>
      </c>
      <c r="L462" s="115">
        <v>19980</v>
      </c>
      <c r="M462" s="115"/>
      <c r="N462" s="115"/>
      <c r="O462" s="431">
        <v>9000</v>
      </c>
      <c r="P462" s="445">
        <v>982170</v>
      </c>
      <c r="Q462" s="489" t="s">
        <v>66</v>
      </c>
      <c r="R462" s="490">
        <v>700000</v>
      </c>
      <c r="S462" s="490"/>
      <c r="T462" s="489">
        <v>282170</v>
      </c>
      <c r="U462" s="490"/>
      <c r="V462" s="490"/>
      <c r="W462" s="490"/>
      <c r="X462" s="490"/>
      <c r="Y462" s="490"/>
      <c r="Z462" s="490"/>
      <c r="AA462" s="492"/>
      <c r="AB462" s="83"/>
      <c r="AC462" s="83"/>
      <c r="AD462" s="83"/>
      <c r="AE462" s="83"/>
      <c r="AF462" s="467"/>
      <c r="AG462" s="294">
        <v>42612</v>
      </c>
      <c r="AH462" s="407">
        <f>R462</f>
        <v>700000</v>
      </c>
      <c r="AI462" s="132">
        <f t="shared" si="147"/>
        <v>700000</v>
      </c>
      <c r="AJ462" s="132">
        <f t="shared" si="148"/>
        <v>700000</v>
      </c>
      <c r="AK462" s="132">
        <f t="shared" si="149"/>
        <v>0</v>
      </c>
      <c r="AL462" s="471"/>
      <c r="AM462" s="133" t="s">
        <v>900</v>
      </c>
      <c r="AN462" s="246">
        <v>44865</v>
      </c>
      <c r="AO462" s="288"/>
      <c r="AP462" s="422"/>
      <c r="AQ462" s="422"/>
      <c r="AR462" s="422"/>
    </row>
    <row r="463" s="202" customFormat="1" customHeight="1" spans="1:44">
      <c r="A463" s="115" t="s">
        <v>1709</v>
      </c>
      <c r="B463" s="155" t="s">
        <v>1710</v>
      </c>
      <c r="C463" s="406" t="s">
        <v>1711</v>
      </c>
      <c r="D463" s="193" t="str">
        <f t="shared" si="143"/>
        <v>赵真411102198212115662</v>
      </c>
      <c r="E463" s="448">
        <v>15890680439</v>
      </c>
      <c r="F463" s="156"/>
      <c r="G463" s="239">
        <v>6</v>
      </c>
      <c r="H463" s="115">
        <v>1</v>
      </c>
      <c r="I463" s="115">
        <v>12</v>
      </c>
      <c r="J463" s="115">
        <v>1205</v>
      </c>
      <c r="K463" s="115">
        <v>93.07</v>
      </c>
      <c r="L463" s="115">
        <v>19680</v>
      </c>
      <c r="M463" s="115"/>
      <c r="N463" s="115"/>
      <c r="O463" s="431">
        <v>11000</v>
      </c>
      <c r="P463" s="445">
        <v>1023770</v>
      </c>
      <c r="Q463" s="464" t="s">
        <v>56</v>
      </c>
      <c r="R463" s="83">
        <v>1048300</v>
      </c>
      <c r="S463" s="83"/>
      <c r="T463" s="464"/>
      <c r="U463" s="83"/>
      <c r="V463" s="83"/>
      <c r="W463" s="83"/>
      <c r="X463" s="83"/>
      <c r="Y463" s="83"/>
      <c r="Z463" s="83"/>
      <c r="AA463" s="294"/>
      <c r="AB463" s="83"/>
      <c r="AC463" s="83"/>
      <c r="AD463" s="83"/>
      <c r="AE463" s="83"/>
      <c r="AF463" s="467"/>
      <c r="AG463" s="294">
        <v>42942</v>
      </c>
      <c r="AH463" s="407">
        <f>R463</f>
        <v>1048300</v>
      </c>
      <c r="AI463" s="132">
        <f t="shared" si="147"/>
        <v>1048300</v>
      </c>
      <c r="AJ463" s="132">
        <f t="shared" si="148"/>
        <v>1048300</v>
      </c>
      <c r="AK463" s="132">
        <f t="shared" si="149"/>
        <v>0</v>
      </c>
      <c r="AL463" s="471"/>
      <c r="AM463" s="133" t="s">
        <v>900</v>
      </c>
      <c r="AN463" s="246">
        <v>44866</v>
      </c>
      <c r="AO463" s="288"/>
      <c r="AP463" s="422"/>
      <c r="AQ463" s="422"/>
      <c r="AR463" s="422"/>
    </row>
    <row r="464" s="202" customFormat="1" customHeight="1" spans="1:44">
      <c r="A464" s="115" t="s">
        <v>1712</v>
      </c>
      <c r="B464" s="107" t="s">
        <v>1713</v>
      </c>
      <c r="C464" s="406" t="s">
        <v>1714</v>
      </c>
      <c r="D464" s="193" t="str">
        <f t="shared" si="143"/>
        <v>魏晓兰412702197002168167</v>
      </c>
      <c r="E464" s="155">
        <v>13903877718</v>
      </c>
      <c r="F464" s="115"/>
      <c r="G464" s="115">
        <v>3</v>
      </c>
      <c r="H464" s="115">
        <v>10</v>
      </c>
      <c r="I464" s="115"/>
      <c r="J464" s="115">
        <v>1004</v>
      </c>
      <c r="K464" s="115">
        <v>56.57</v>
      </c>
      <c r="L464" s="115">
        <v>20000</v>
      </c>
      <c r="M464" s="115"/>
      <c r="N464" s="115"/>
      <c r="O464" s="431">
        <v>9439.84</v>
      </c>
      <c r="P464" s="445">
        <v>534012</v>
      </c>
      <c r="Q464" s="464" t="s">
        <v>56</v>
      </c>
      <c r="R464" s="465">
        <v>534012</v>
      </c>
      <c r="S464" s="465"/>
      <c r="T464" s="466" t="s">
        <v>47</v>
      </c>
      <c r="U464" s="466"/>
      <c r="V464" s="466"/>
      <c r="W464" s="466">
        <v>3677</v>
      </c>
      <c r="X464" s="466">
        <v>550</v>
      </c>
      <c r="Y464" s="466"/>
      <c r="Z464" s="83" t="s">
        <v>48</v>
      </c>
      <c r="AA464" s="294"/>
      <c r="AB464" s="83">
        <f>2126-550</f>
        <v>1576</v>
      </c>
      <c r="AC464" s="83"/>
      <c r="AD464" s="83"/>
      <c r="AE464" s="83"/>
      <c r="AF464" s="467"/>
      <c r="AG464" s="294">
        <v>43277</v>
      </c>
      <c r="AH464" s="407">
        <f>R464+W464+X464</f>
        <v>538239</v>
      </c>
      <c r="AI464" s="132">
        <f t="shared" si="147"/>
        <v>539815</v>
      </c>
      <c r="AJ464" s="132">
        <f t="shared" si="148"/>
        <v>538239</v>
      </c>
      <c r="AK464" s="132">
        <f t="shared" si="149"/>
        <v>1576</v>
      </c>
      <c r="AL464" s="471"/>
      <c r="AM464" s="133" t="s">
        <v>900</v>
      </c>
      <c r="AN464" s="246">
        <v>44866</v>
      </c>
      <c r="AO464" s="288"/>
      <c r="AP464" s="422"/>
      <c r="AQ464" s="422"/>
      <c r="AR464" s="422"/>
    </row>
    <row r="465" s="202" customFormat="1" customHeight="1" spans="1:44">
      <c r="A465" s="115" t="s">
        <v>1715</v>
      </c>
      <c r="B465" s="115" t="s">
        <v>1716</v>
      </c>
      <c r="C465" s="83" t="s">
        <v>1717</v>
      </c>
      <c r="D465" s="193" t="str">
        <f t="shared" si="143"/>
        <v>赵琴410323198110230143</v>
      </c>
      <c r="E465" s="155" t="s">
        <v>1718</v>
      </c>
      <c r="F465" s="115"/>
      <c r="G465" s="115">
        <v>10</v>
      </c>
      <c r="H465" s="115">
        <v>2</v>
      </c>
      <c r="I465" s="115">
        <v>32</v>
      </c>
      <c r="J465" s="115">
        <v>3205</v>
      </c>
      <c r="K465" s="115">
        <v>93.84</v>
      </c>
      <c r="L465" s="115">
        <v>17900</v>
      </c>
      <c r="M465" s="115"/>
      <c r="N465" s="115"/>
      <c r="O465" s="431">
        <v>14950</v>
      </c>
      <c r="P465" s="239">
        <v>1402908</v>
      </c>
      <c r="Q465" s="464"/>
      <c r="R465" s="83">
        <v>745565</v>
      </c>
      <c r="S465" s="83"/>
      <c r="T465" s="464">
        <v>657343</v>
      </c>
      <c r="U465" s="401"/>
      <c r="V465" s="83"/>
      <c r="W465" s="83"/>
      <c r="X465" s="83"/>
      <c r="Y465" s="83"/>
      <c r="Z465" s="83"/>
      <c r="AA465" s="294"/>
      <c r="AB465" s="83"/>
      <c r="AC465" s="83"/>
      <c r="AD465" s="83"/>
      <c r="AE465" s="83"/>
      <c r="AF465" s="467"/>
      <c r="AG465" s="294">
        <v>42810</v>
      </c>
      <c r="AH465" s="407"/>
      <c r="AI465" s="132">
        <f t="shared" si="147"/>
        <v>745565</v>
      </c>
      <c r="AJ465" s="132">
        <f t="shared" si="148"/>
        <v>745565</v>
      </c>
      <c r="AK465" s="132">
        <f t="shared" si="149"/>
        <v>0</v>
      </c>
      <c r="AL465" s="471"/>
      <c r="AM465" s="133" t="s">
        <v>900</v>
      </c>
      <c r="AN465" s="246">
        <v>44866</v>
      </c>
      <c r="AO465" s="288"/>
      <c r="AP465" s="422"/>
      <c r="AQ465" s="422"/>
      <c r="AR465" s="422"/>
    </row>
    <row r="466" s="202" customFormat="1" customHeight="1" spans="1:44">
      <c r="A466" s="115" t="s">
        <v>1719</v>
      </c>
      <c r="B466" s="155" t="s">
        <v>1720</v>
      </c>
      <c r="C466" s="406" t="s">
        <v>1721</v>
      </c>
      <c r="D466" s="193" t="str">
        <f t="shared" si="143"/>
        <v>代红旗412723196512070036</v>
      </c>
      <c r="E466" s="155">
        <v>13033901209</v>
      </c>
      <c r="F466" s="115"/>
      <c r="G466" s="239">
        <v>6</v>
      </c>
      <c r="H466" s="115">
        <v>1</v>
      </c>
      <c r="I466" s="115">
        <v>16</v>
      </c>
      <c r="J466" s="115">
        <v>1605</v>
      </c>
      <c r="K466" s="115">
        <v>93.07</v>
      </c>
      <c r="L466" s="115">
        <v>17900</v>
      </c>
      <c r="M466" s="115"/>
      <c r="N466" s="115"/>
      <c r="O466" s="431">
        <v>14500</v>
      </c>
      <c r="P466" s="445">
        <v>1349515</v>
      </c>
      <c r="Q466" s="464" t="s">
        <v>56</v>
      </c>
      <c r="R466" s="83">
        <v>1375721</v>
      </c>
      <c r="S466" s="83"/>
      <c r="T466" s="464"/>
      <c r="U466" s="83"/>
      <c r="V466" s="83"/>
      <c r="W466" s="83">
        <v>6049</v>
      </c>
      <c r="X466" s="83">
        <v>80</v>
      </c>
      <c r="Y466" s="83"/>
      <c r="Z466" s="83" t="s">
        <v>48</v>
      </c>
      <c r="AA466" s="294"/>
      <c r="AB466" s="83"/>
      <c r="AC466" s="83"/>
      <c r="AD466" s="83"/>
      <c r="AE466" s="83"/>
      <c r="AF466" s="467"/>
      <c r="AG466" s="294">
        <v>42857</v>
      </c>
      <c r="AH466" s="407">
        <f>R466+W466+X466</f>
        <v>1381850</v>
      </c>
      <c r="AI466" s="132">
        <f t="shared" si="147"/>
        <v>1381850</v>
      </c>
      <c r="AJ466" s="132">
        <f t="shared" si="148"/>
        <v>1381850</v>
      </c>
      <c r="AK466" s="132">
        <f t="shared" si="149"/>
        <v>0</v>
      </c>
      <c r="AL466" s="471"/>
      <c r="AM466" s="133" t="s">
        <v>900</v>
      </c>
      <c r="AN466" s="246">
        <v>44866</v>
      </c>
      <c r="AO466" s="288"/>
      <c r="AP466" s="422"/>
      <c r="AQ466" s="422"/>
      <c r="AR466" s="422"/>
    </row>
    <row r="467" s="202" customFormat="1" customHeight="1" spans="1:44">
      <c r="A467" s="115" t="s">
        <v>1722</v>
      </c>
      <c r="B467" s="107" t="s">
        <v>1723</v>
      </c>
      <c r="C467" s="406" t="s">
        <v>1724</v>
      </c>
      <c r="D467" s="193" t="str">
        <f t="shared" si="143"/>
        <v>周浩413024197806112629</v>
      </c>
      <c r="E467" s="155">
        <v>15237665530</v>
      </c>
      <c r="F467" s="115"/>
      <c r="G467" s="115">
        <v>3</v>
      </c>
      <c r="H467" s="115">
        <v>15</v>
      </c>
      <c r="I467" s="115"/>
      <c r="J467" s="115">
        <v>1503</v>
      </c>
      <c r="K467" s="115">
        <v>52.4</v>
      </c>
      <c r="L467" s="115">
        <v>20000</v>
      </c>
      <c r="M467" s="115"/>
      <c r="N467" s="115"/>
      <c r="O467" s="431">
        <v>11504.69</v>
      </c>
      <c r="P467" s="445">
        <v>602846</v>
      </c>
      <c r="Q467" s="464" t="s">
        <v>66</v>
      </c>
      <c r="R467" s="484">
        <v>302846</v>
      </c>
      <c r="S467" s="484"/>
      <c r="T467" s="466" t="s">
        <v>47</v>
      </c>
      <c r="U467" s="466"/>
      <c r="V467" s="405">
        <v>300000</v>
      </c>
      <c r="W467" s="466">
        <v>3406</v>
      </c>
      <c r="X467" s="466">
        <v>550</v>
      </c>
      <c r="Y467" s="466"/>
      <c r="Z467" s="83" t="s">
        <v>48</v>
      </c>
      <c r="AA467" s="294"/>
      <c r="AB467" s="83">
        <v>1580</v>
      </c>
      <c r="AC467" s="83"/>
      <c r="AD467" s="83"/>
      <c r="AE467" s="83"/>
      <c r="AF467" s="467"/>
      <c r="AG467" s="294">
        <v>43068</v>
      </c>
      <c r="AH467" s="407">
        <f>R467+W467+X467</f>
        <v>306802</v>
      </c>
      <c r="AI467" s="132">
        <f t="shared" ref="AI467:AI472" si="150">R467+V467+W467+X467+AA467+AB467+AC467+AD467</f>
        <v>608382</v>
      </c>
      <c r="AJ467" s="132">
        <f t="shared" ref="AJ467:AJ472" si="151">R467+W467+V467+X467+AA467</f>
        <v>606802</v>
      </c>
      <c r="AK467" s="132">
        <f t="shared" ref="AK467:AK472" si="152">AI467-AJ467</f>
        <v>1580</v>
      </c>
      <c r="AL467" s="471" t="s">
        <v>1725</v>
      </c>
      <c r="AM467" s="133" t="s">
        <v>900</v>
      </c>
      <c r="AN467" s="246">
        <v>44866</v>
      </c>
      <c r="AO467" s="288"/>
      <c r="AP467" s="422"/>
      <c r="AQ467" s="422"/>
      <c r="AR467" s="422"/>
    </row>
    <row r="468" s="96" customFormat="1" customHeight="1" spans="1:44">
      <c r="A468" s="115" t="s">
        <v>1726</v>
      </c>
      <c r="B468" s="404" t="s">
        <v>1727</v>
      </c>
      <c r="C468" s="550" t="s">
        <v>1728</v>
      </c>
      <c r="D468" s="193" t="str">
        <f t="shared" si="143"/>
        <v>何永胜440924197409155010</v>
      </c>
      <c r="E468" s="155">
        <v>18927707768</v>
      </c>
      <c r="F468" s="115"/>
      <c r="G468" s="115">
        <v>2</v>
      </c>
      <c r="H468" s="115">
        <v>13</v>
      </c>
      <c r="I468" s="115"/>
      <c r="J468" s="115">
        <v>1337</v>
      </c>
      <c r="K468" s="431">
        <v>209.82</v>
      </c>
      <c r="L468" s="115"/>
      <c r="M468" s="239"/>
      <c r="N468" s="239"/>
      <c r="O468" s="431">
        <v>15800</v>
      </c>
      <c r="P468" s="445">
        <v>3315156</v>
      </c>
      <c r="Q468" s="464" t="s">
        <v>56</v>
      </c>
      <c r="R468" s="83">
        <v>3315156</v>
      </c>
      <c r="S468" s="83"/>
      <c r="T468" s="464">
        <v>0</v>
      </c>
      <c r="U468" s="83"/>
      <c r="V468" s="467"/>
      <c r="W468" s="83">
        <v>13638</v>
      </c>
      <c r="X468" s="467">
        <v>550</v>
      </c>
      <c r="Y468" s="467"/>
      <c r="Z468" s="401" t="s">
        <v>48</v>
      </c>
      <c r="AA468" s="294"/>
      <c r="AB468" s="83"/>
      <c r="AC468" s="83"/>
      <c r="AD468" s="83"/>
      <c r="AE468" s="83"/>
      <c r="AF468" s="467"/>
      <c r="AG468" s="294">
        <v>44187</v>
      </c>
      <c r="AH468" s="407"/>
      <c r="AI468" s="132">
        <f t="shared" si="150"/>
        <v>3329344</v>
      </c>
      <c r="AJ468" s="132">
        <f t="shared" si="151"/>
        <v>3329344</v>
      </c>
      <c r="AK468" s="132">
        <f t="shared" si="152"/>
        <v>0</v>
      </c>
      <c r="AL468" s="471"/>
      <c r="AM468" s="133" t="s">
        <v>900</v>
      </c>
      <c r="AN468" s="246">
        <v>44866</v>
      </c>
      <c r="AO468" s="288"/>
      <c r="AP468" s="422"/>
      <c r="AQ468" s="422"/>
      <c r="AR468" s="422"/>
    </row>
    <row r="469" s="202" customFormat="1" customHeight="1" spans="1:44">
      <c r="A469" s="115" t="s">
        <v>1729</v>
      </c>
      <c r="B469" s="107" t="s">
        <v>1730</v>
      </c>
      <c r="C469" s="167" t="s">
        <v>1731</v>
      </c>
      <c r="D469" s="193" t="str">
        <f t="shared" si="143"/>
        <v>黄敏412829197209070023</v>
      </c>
      <c r="E469" s="107">
        <v>13087088109</v>
      </c>
      <c r="F469" s="106" t="s">
        <v>1732</v>
      </c>
      <c r="G469" s="109">
        <v>9</v>
      </c>
      <c r="H469" s="106">
        <v>3</v>
      </c>
      <c r="I469" s="106">
        <v>22</v>
      </c>
      <c r="J469" s="106">
        <v>2202</v>
      </c>
      <c r="K469" s="106">
        <v>99.56</v>
      </c>
      <c r="L469" s="106">
        <v>19550</v>
      </c>
      <c r="M469" s="106"/>
      <c r="N469" s="106"/>
      <c r="O469" s="455">
        <v>19300</v>
      </c>
      <c r="P469" s="239">
        <v>1921508</v>
      </c>
      <c r="Q469" s="110" t="s">
        <v>66</v>
      </c>
      <c r="R469" s="110">
        <v>581508</v>
      </c>
      <c r="S469" s="110"/>
      <c r="T469" s="110">
        <v>1340000</v>
      </c>
      <c r="U469" s="110"/>
      <c r="V469" s="115"/>
      <c r="W469" s="106">
        <v>6471</v>
      </c>
      <c r="X469" s="106">
        <v>80</v>
      </c>
      <c r="Y469" s="106"/>
      <c r="Z469" s="106"/>
      <c r="AA469" s="290"/>
      <c r="AB469" s="106">
        <f>1514-80</f>
        <v>1434</v>
      </c>
      <c r="AC469" s="83"/>
      <c r="AD469" s="83"/>
      <c r="AE469" s="83"/>
      <c r="AF469" s="467"/>
      <c r="AG469" s="294">
        <v>43424</v>
      </c>
      <c r="AH469" s="407"/>
      <c r="AI469" s="132">
        <f t="shared" si="150"/>
        <v>589493</v>
      </c>
      <c r="AJ469" s="132">
        <f t="shared" si="151"/>
        <v>588059</v>
      </c>
      <c r="AK469" s="132">
        <f t="shared" si="152"/>
        <v>1434</v>
      </c>
      <c r="AL469" s="471"/>
      <c r="AM469" s="133" t="s">
        <v>900</v>
      </c>
      <c r="AN469" s="246">
        <v>44866</v>
      </c>
      <c r="AO469" s="288"/>
      <c r="AP469" s="422"/>
      <c r="AQ469" s="422"/>
      <c r="AR469" s="422"/>
    </row>
    <row r="470" s="202" customFormat="1" customHeight="1" spans="1:44">
      <c r="A470" s="115" t="s">
        <v>1733</v>
      </c>
      <c r="B470" s="107" t="s">
        <v>1734</v>
      </c>
      <c r="C470" s="406" t="s">
        <v>1735</v>
      </c>
      <c r="D470" s="193" t="str">
        <f t="shared" si="143"/>
        <v>李晓伟412728198204260015</v>
      </c>
      <c r="E470" s="155" t="s">
        <v>1736</v>
      </c>
      <c r="F470" s="115"/>
      <c r="G470" s="115">
        <v>3</v>
      </c>
      <c r="H470" s="115">
        <v>7</v>
      </c>
      <c r="I470" s="115"/>
      <c r="J470" s="115">
        <v>718</v>
      </c>
      <c r="K470" s="115">
        <v>69.11</v>
      </c>
      <c r="L470" s="115">
        <v>20000</v>
      </c>
      <c r="M470" s="115"/>
      <c r="N470" s="115"/>
      <c r="O470" s="431">
        <v>8780.48</v>
      </c>
      <c r="P470" s="445">
        <v>606819</v>
      </c>
      <c r="Q470" s="464" t="s">
        <v>56</v>
      </c>
      <c r="R470" s="465">
        <v>606819</v>
      </c>
      <c r="S470" s="465"/>
      <c r="T470" s="466" t="s">
        <v>47</v>
      </c>
      <c r="U470" s="466"/>
      <c r="V470" s="466"/>
      <c r="W470" s="466">
        <v>4492</v>
      </c>
      <c r="X470" s="466">
        <v>550</v>
      </c>
      <c r="Y470" s="466"/>
      <c r="Z470" s="83" t="s">
        <v>48</v>
      </c>
      <c r="AA470" s="294"/>
      <c r="AB470" s="83"/>
      <c r="AC470" s="83"/>
      <c r="AD470" s="83"/>
      <c r="AE470" s="83"/>
      <c r="AF470" s="467"/>
      <c r="AG470" s="294">
        <v>43104</v>
      </c>
      <c r="AH470" s="407">
        <f>R470+W470+X470</f>
        <v>611861</v>
      </c>
      <c r="AI470" s="132">
        <f t="shared" si="150"/>
        <v>611861</v>
      </c>
      <c r="AJ470" s="132">
        <f t="shared" si="151"/>
        <v>611861</v>
      </c>
      <c r="AK470" s="132">
        <f t="shared" si="152"/>
        <v>0</v>
      </c>
      <c r="AL470" s="471"/>
      <c r="AM470" s="133" t="s">
        <v>900</v>
      </c>
      <c r="AN470" s="246">
        <v>44866</v>
      </c>
      <c r="AO470" s="288"/>
      <c r="AP470" s="422"/>
      <c r="AQ470" s="422"/>
      <c r="AR470" s="422"/>
    </row>
    <row r="471" s="202" customFormat="1" customHeight="1" spans="1:44">
      <c r="A471" s="115" t="s">
        <v>1737</v>
      </c>
      <c r="B471" s="155" t="s">
        <v>1738</v>
      </c>
      <c r="C471" s="406" t="s">
        <v>1739</v>
      </c>
      <c r="D471" s="193" t="str">
        <f t="shared" si="143"/>
        <v>刘聪411302199202080852</v>
      </c>
      <c r="E471" s="166" t="s">
        <v>1740</v>
      </c>
      <c r="F471" s="156"/>
      <c r="G471" s="239">
        <v>6</v>
      </c>
      <c r="H471" s="115">
        <v>2</v>
      </c>
      <c r="I471" s="115">
        <v>17</v>
      </c>
      <c r="J471" s="115">
        <v>1701</v>
      </c>
      <c r="K471" s="115">
        <v>109.13</v>
      </c>
      <c r="L471" s="115">
        <v>19980</v>
      </c>
      <c r="M471" s="115"/>
      <c r="N471" s="115"/>
      <c r="O471" s="431">
        <v>15000</v>
      </c>
      <c r="P471" s="445">
        <v>1636950</v>
      </c>
      <c r="Q471" s="464" t="s">
        <v>66</v>
      </c>
      <c r="R471" s="83">
        <v>1006950</v>
      </c>
      <c r="S471" s="83"/>
      <c r="T471" s="464">
        <v>630000</v>
      </c>
      <c r="U471" s="83"/>
      <c r="V471" s="83"/>
      <c r="W471" s="83">
        <v>7093</v>
      </c>
      <c r="X471" s="83">
        <v>80</v>
      </c>
      <c r="Y471" s="83"/>
      <c r="Z471" s="83"/>
      <c r="AA471" s="294"/>
      <c r="AB471" s="83">
        <f>1443-80</f>
        <v>1363</v>
      </c>
      <c r="AC471" s="83"/>
      <c r="AD471" s="83"/>
      <c r="AE471" s="83"/>
      <c r="AF471" s="467"/>
      <c r="AG471" s="294">
        <v>43250</v>
      </c>
      <c r="AH471" s="407">
        <v>1000000</v>
      </c>
      <c r="AI471" s="132">
        <f t="shared" si="150"/>
        <v>1015486</v>
      </c>
      <c r="AJ471" s="132">
        <f t="shared" si="151"/>
        <v>1014123</v>
      </c>
      <c r="AK471" s="132">
        <f t="shared" si="152"/>
        <v>1363</v>
      </c>
      <c r="AL471" s="471"/>
      <c r="AM471" s="133" t="s">
        <v>900</v>
      </c>
      <c r="AN471" s="246">
        <v>44866</v>
      </c>
      <c r="AO471" s="288"/>
      <c r="AP471" s="422"/>
      <c r="AQ471" s="422"/>
      <c r="AR471" s="422"/>
    </row>
    <row r="472" s="93" customFormat="1" customHeight="1" spans="1:44">
      <c r="A472" s="115" t="s">
        <v>1741</v>
      </c>
      <c r="B472" s="155" t="s">
        <v>1576</v>
      </c>
      <c r="C472" s="406" t="s">
        <v>1742</v>
      </c>
      <c r="D472" s="193" t="str">
        <f t="shared" si="143"/>
        <v>刘洋411302198402060819</v>
      </c>
      <c r="E472" s="166" t="s">
        <v>1743</v>
      </c>
      <c r="F472" s="156"/>
      <c r="G472" s="239">
        <v>6</v>
      </c>
      <c r="H472" s="115">
        <v>2</v>
      </c>
      <c r="I472" s="115">
        <v>19</v>
      </c>
      <c r="J472" s="115">
        <v>1901</v>
      </c>
      <c r="K472" s="115">
        <v>109.13</v>
      </c>
      <c r="L472" s="115">
        <v>19980</v>
      </c>
      <c r="M472" s="115"/>
      <c r="N472" s="115"/>
      <c r="O472" s="431">
        <v>15000</v>
      </c>
      <c r="P472" s="445">
        <v>1636950</v>
      </c>
      <c r="Q472" s="464" t="s">
        <v>66</v>
      </c>
      <c r="R472" s="83">
        <v>1000000</v>
      </c>
      <c r="S472" s="83"/>
      <c r="T472" s="464">
        <v>636950</v>
      </c>
      <c r="U472" s="83"/>
      <c r="V472" s="83"/>
      <c r="W472" s="83"/>
      <c r="X472" s="83"/>
      <c r="Y472" s="83"/>
      <c r="Z472" s="83"/>
      <c r="AA472" s="294"/>
      <c r="AB472" s="83"/>
      <c r="AC472" s="83"/>
      <c r="AD472" s="83"/>
      <c r="AE472" s="83"/>
      <c r="AF472" s="467"/>
      <c r="AG472" s="294">
        <v>43250</v>
      </c>
      <c r="AH472" s="407">
        <f>R472</f>
        <v>1000000</v>
      </c>
      <c r="AI472" s="132">
        <f t="shared" si="150"/>
        <v>1000000</v>
      </c>
      <c r="AJ472" s="132">
        <f t="shared" si="151"/>
        <v>1000000</v>
      </c>
      <c r="AK472" s="132">
        <f t="shared" si="152"/>
        <v>0</v>
      </c>
      <c r="AL472" s="471"/>
      <c r="AM472" s="133" t="s">
        <v>900</v>
      </c>
      <c r="AN472" s="246">
        <v>44866</v>
      </c>
      <c r="AO472" s="288"/>
      <c r="AP472" s="422"/>
      <c r="AQ472" s="422"/>
      <c r="AR472" s="422"/>
    </row>
    <row r="473" s="96" customFormat="1" customHeight="1" spans="1:44">
      <c r="A473" s="115" t="s">
        <v>1744</v>
      </c>
      <c r="B473" s="115" t="s">
        <v>1745</v>
      </c>
      <c r="C473" s="403" t="s">
        <v>1746</v>
      </c>
      <c r="D473" s="193" t="str">
        <f t="shared" si="143"/>
        <v>张铁建410182198402100016</v>
      </c>
      <c r="E473" s="155" t="s">
        <v>1747</v>
      </c>
      <c r="F473" s="115"/>
      <c r="G473" s="239">
        <v>9</v>
      </c>
      <c r="H473" s="115">
        <v>3</v>
      </c>
      <c r="I473" s="115">
        <v>20</v>
      </c>
      <c r="J473" s="115">
        <v>2003</v>
      </c>
      <c r="K473" s="115">
        <v>99.56</v>
      </c>
      <c r="L473" s="115">
        <v>8726</v>
      </c>
      <c r="M473" s="115"/>
      <c r="N473" s="115"/>
      <c r="O473" s="431">
        <v>8625.6</v>
      </c>
      <c r="P473" s="445">
        <v>858765</v>
      </c>
      <c r="Q473" s="464" t="s">
        <v>66</v>
      </c>
      <c r="R473" s="464">
        <v>300000</v>
      </c>
      <c r="S473" s="464"/>
      <c r="T473" s="464">
        <v>558764.88931665</v>
      </c>
      <c r="U473" s="464"/>
      <c r="V473" s="83"/>
      <c r="W473" s="83"/>
      <c r="X473" s="83"/>
      <c r="Y473" s="83"/>
      <c r="Z473" s="83"/>
      <c r="AA473" s="294"/>
      <c r="AB473" s="83"/>
      <c r="AC473" s="83"/>
      <c r="AD473" s="83"/>
      <c r="AE473" s="83"/>
      <c r="AF473" s="467"/>
      <c r="AG473" s="294">
        <v>42298</v>
      </c>
      <c r="AH473" s="407">
        <f>R473</f>
        <v>300000</v>
      </c>
      <c r="AI473" s="132">
        <f t="shared" ref="AI473:AI479" si="153">R473+V473+W473+X473+AA473+AB473+AC473+AD473</f>
        <v>300000</v>
      </c>
      <c r="AJ473" s="132">
        <f t="shared" ref="AJ473:AJ479" si="154">R473+W473+V473+X473+AA473</f>
        <v>300000</v>
      </c>
      <c r="AK473" s="132">
        <f t="shared" ref="AK473:AK479" si="155">AI473-AJ473</f>
        <v>0</v>
      </c>
      <c r="AL473" s="451" t="s">
        <v>1748</v>
      </c>
      <c r="AM473" s="133" t="s">
        <v>900</v>
      </c>
      <c r="AN473" s="246">
        <v>44866</v>
      </c>
      <c r="AO473" s="288"/>
      <c r="AP473" s="422"/>
      <c r="AQ473" s="422"/>
      <c r="AR473" s="422"/>
    </row>
    <row r="474" customHeight="1" spans="1:44">
      <c r="A474" s="115" t="s">
        <v>1749</v>
      </c>
      <c r="B474" s="107" t="s">
        <v>1750</v>
      </c>
      <c r="C474" s="406" t="s">
        <v>1751</v>
      </c>
      <c r="D474" s="193" t="str">
        <f t="shared" si="143"/>
        <v>冯彦芳410108197208171525</v>
      </c>
      <c r="E474" s="166" t="s">
        <v>1752</v>
      </c>
      <c r="F474" s="156"/>
      <c r="G474" s="115">
        <v>3</v>
      </c>
      <c r="H474" s="115">
        <v>15</v>
      </c>
      <c r="I474" s="115"/>
      <c r="J474" s="115">
        <v>1522</v>
      </c>
      <c r="K474" s="115">
        <v>64.29</v>
      </c>
      <c r="L474" s="115">
        <v>20000</v>
      </c>
      <c r="M474" s="115"/>
      <c r="N474" s="115"/>
      <c r="O474" s="431">
        <v>11229.84</v>
      </c>
      <c r="P474" s="445">
        <v>721966</v>
      </c>
      <c r="Q474" s="464" t="s">
        <v>66</v>
      </c>
      <c r="R474" s="465">
        <v>361966</v>
      </c>
      <c r="S474" s="465"/>
      <c r="T474" s="464">
        <v>360000</v>
      </c>
      <c r="U474" s="466"/>
      <c r="V474" s="466"/>
      <c r="W474" s="466">
        <v>4178</v>
      </c>
      <c r="X474" s="466">
        <v>550</v>
      </c>
      <c r="Y474" s="466"/>
      <c r="Z474" s="83"/>
      <c r="AA474" s="294"/>
      <c r="AB474" s="83"/>
      <c r="AC474" s="83"/>
      <c r="AD474" s="83"/>
      <c r="AE474" s="83"/>
      <c r="AF474" s="467"/>
      <c r="AG474" s="294">
        <v>42588</v>
      </c>
      <c r="AH474" s="407">
        <f>R474+W474+X474</f>
        <v>366694</v>
      </c>
      <c r="AI474" s="132">
        <f t="shared" si="153"/>
        <v>366694</v>
      </c>
      <c r="AJ474" s="132">
        <f t="shared" si="154"/>
        <v>366694</v>
      </c>
      <c r="AK474" s="132">
        <f t="shared" si="155"/>
        <v>0</v>
      </c>
      <c r="AL474" s="471"/>
      <c r="AM474" s="133" t="s">
        <v>900</v>
      </c>
      <c r="AN474" s="246">
        <v>44866</v>
      </c>
      <c r="AO474" s="288"/>
      <c r="AP474" s="422"/>
      <c r="AQ474" s="422"/>
      <c r="AR474" s="422"/>
    </row>
    <row r="475" s="202" customFormat="1" customHeight="1" spans="1:44">
      <c r="A475" s="337" t="s">
        <v>1753</v>
      </c>
      <c r="B475" s="155" t="s">
        <v>1754</v>
      </c>
      <c r="C475" s="551" t="s">
        <v>1755</v>
      </c>
      <c r="D475" s="193" t="str">
        <f t="shared" si="143"/>
        <v>韩乐中410502195407151038</v>
      </c>
      <c r="E475" s="166" t="s">
        <v>1756</v>
      </c>
      <c r="F475" s="156"/>
      <c r="G475" s="239">
        <v>6</v>
      </c>
      <c r="H475" s="115">
        <v>1</v>
      </c>
      <c r="I475" s="115">
        <v>29</v>
      </c>
      <c r="J475" s="115">
        <v>2908</v>
      </c>
      <c r="K475" s="115">
        <v>109.13</v>
      </c>
      <c r="L475" s="115">
        <v>19760</v>
      </c>
      <c r="M475" s="115"/>
      <c r="N475" s="115"/>
      <c r="O475" s="431">
        <v>12000</v>
      </c>
      <c r="P475" s="445">
        <v>1309560</v>
      </c>
      <c r="Q475" s="464" t="s">
        <v>66</v>
      </c>
      <c r="R475" s="83">
        <v>1102895</v>
      </c>
      <c r="S475" s="83"/>
      <c r="T475" s="464">
        <v>206665</v>
      </c>
      <c r="U475" s="83"/>
      <c r="V475" s="83"/>
      <c r="W475" s="83"/>
      <c r="X475" s="83"/>
      <c r="Y475" s="83"/>
      <c r="Z475" s="83"/>
      <c r="AA475" s="294"/>
      <c r="AB475" s="83"/>
      <c r="AC475" s="83"/>
      <c r="AD475" s="83"/>
      <c r="AE475" s="83"/>
      <c r="AF475" s="467"/>
      <c r="AG475" s="294"/>
      <c r="AH475" s="407"/>
      <c r="AI475" s="132">
        <f t="shared" si="153"/>
        <v>1102895</v>
      </c>
      <c r="AJ475" s="341"/>
      <c r="AK475" s="132">
        <f t="shared" si="155"/>
        <v>1102895</v>
      </c>
      <c r="AL475" s="451" t="s">
        <v>1678</v>
      </c>
      <c r="AM475" s="133" t="s">
        <v>900</v>
      </c>
      <c r="AN475" s="246">
        <v>44866</v>
      </c>
      <c r="AO475" s="288"/>
      <c r="AP475" s="422"/>
      <c r="AQ475" s="422"/>
      <c r="AR475" s="422"/>
    </row>
    <row r="476" s="202" customFormat="1" customHeight="1" spans="1:44">
      <c r="A476" s="115" t="s">
        <v>1757</v>
      </c>
      <c r="B476" s="404" t="s">
        <v>1758</v>
      </c>
      <c r="C476" s="406" t="s">
        <v>1759</v>
      </c>
      <c r="D476" s="193" t="str">
        <f t="shared" si="143"/>
        <v>石东亚410103198311250312</v>
      </c>
      <c r="E476" s="155">
        <v>13513807586</v>
      </c>
      <c r="F476" s="115"/>
      <c r="G476" s="115">
        <v>2</v>
      </c>
      <c r="H476" s="115">
        <v>13</v>
      </c>
      <c r="I476" s="115"/>
      <c r="J476" s="115">
        <v>1302</v>
      </c>
      <c r="K476" s="115">
        <v>36.1</v>
      </c>
      <c r="L476" s="239">
        <v>30000</v>
      </c>
      <c r="M476" s="239"/>
      <c r="N476" s="239"/>
      <c r="O476" s="431">
        <v>14633.6</v>
      </c>
      <c r="P476" s="239">
        <v>528273</v>
      </c>
      <c r="Q476" s="464" t="s">
        <v>66</v>
      </c>
      <c r="R476" s="83">
        <v>268273</v>
      </c>
      <c r="S476" s="83"/>
      <c r="T476" s="464">
        <v>260000</v>
      </c>
      <c r="U476" s="83"/>
      <c r="V476" s="83"/>
      <c r="W476" s="115">
        <v>2346</v>
      </c>
      <c r="X476" s="83">
        <v>550</v>
      </c>
      <c r="Y476" s="83"/>
      <c r="Z476" s="83"/>
      <c r="AA476" s="294"/>
      <c r="AB476" s="83"/>
      <c r="AC476" s="83"/>
      <c r="AD476" s="83"/>
      <c r="AE476" s="83"/>
      <c r="AF476" s="467"/>
      <c r="AG476" s="294">
        <v>43280</v>
      </c>
      <c r="AH476" s="407"/>
      <c r="AI476" s="132">
        <f t="shared" si="153"/>
        <v>271169</v>
      </c>
      <c r="AJ476" s="132">
        <f t="shared" si="154"/>
        <v>271169</v>
      </c>
      <c r="AK476" s="132">
        <f t="shared" si="155"/>
        <v>0</v>
      </c>
      <c r="AL476" s="471" t="s">
        <v>1760</v>
      </c>
      <c r="AM476" s="133" t="s">
        <v>900</v>
      </c>
      <c r="AN476" s="246">
        <v>44866</v>
      </c>
      <c r="AO476" s="288"/>
      <c r="AP476" s="422"/>
      <c r="AQ476" s="422"/>
      <c r="AR476" s="422"/>
    </row>
    <row r="477" s="202" customFormat="1" customHeight="1" spans="1:44">
      <c r="A477" s="115" t="s">
        <v>1761</v>
      </c>
      <c r="B477" s="404" t="s">
        <v>1758</v>
      </c>
      <c r="C477" s="406" t="s">
        <v>1759</v>
      </c>
      <c r="D477" s="193" t="str">
        <f t="shared" si="143"/>
        <v>石东亚410103198311250312</v>
      </c>
      <c r="E477" s="155">
        <v>13513807586</v>
      </c>
      <c r="F477" s="115"/>
      <c r="G477" s="115">
        <v>2</v>
      </c>
      <c r="H477" s="115">
        <v>13</v>
      </c>
      <c r="I477" s="115"/>
      <c r="J477" s="115">
        <v>1303</v>
      </c>
      <c r="K477" s="115">
        <v>37.73</v>
      </c>
      <c r="L477" s="239">
        <v>30000</v>
      </c>
      <c r="M477" s="239"/>
      <c r="N477" s="239"/>
      <c r="O477" s="431">
        <v>14577.26</v>
      </c>
      <c r="P477" s="239">
        <v>550000</v>
      </c>
      <c r="Q477" s="464" t="s">
        <v>66</v>
      </c>
      <c r="R477" s="83">
        <v>280000</v>
      </c>
      <c r="S477" s="83"/>
      <c r="T477" s="464">
        <v>270000</v>
      </c>
      <c r="U477" s="83"/>
      <c r="V477" s="83"/>
      <c r="W477" s="115">
        <v>2452</v>
      </c>
      <c r="X477" s="83">
        <v>550</v>
      </c>
      <c r="Y477" s="83"/>
      <c r="Z477" s="83"/>
      <c r="AA477" s="294"/>
      <c r="AB477" s="83"/>
      <c r="AC477" s="83"/>
      <c r="AD477" s="83"/>
      <c r="AE477" s="83"/>
      <c r="AF477" s="467"/>
      <c r="AG477" s="294">
        <v>43280</v>
      </c>
      <c r="AH477" s="407"/>
      <c r="AI477" s="132">
        <f t="shared" si="153"/>
        <v>283002</v>
      </c>
      <c r="AJ477" s="132">
        <f t="shared" si="154"/>
        <v>283002</v>
      </c>
      <c r="AK477" s="132">
        <f t="shared" si="155"/>
        <v>0</v>
      </c>
      <c r="AL477" s="471" t="s">
        <v>1760</v>
      </c>
      <c r="AM477" s="133" t="s">
        <v>900</v>
      </c>
      <c r="AN477" s="246">
        <v>44866</v>
      </c>
      <c r="AO477" s="288"/>
      <c r="AP477" s="422"/>
      <c r="AQ477" s="422"/>
      <c r="AR477" s="422"/>
    </row>
    <row r="478" s="202" customFormat="1" customHeight="1" spans="1:44">
      <c r="A478" s="115" t="s">
        <v>1762</v>
      </c>
      <c r="B478" s="339" t="s">
        <v>1763</v>
      </c>
      <c r="C478" s="460" t="s">
        <v>1764</v>
      </c>
      <c r="D478" s="193" t="str">
        <f t="shared" si="143"/>
        <v>李胜超410329198311305058</v>
      </c>
      <c r="E478" s="107" t="s">
        <v>1765</v>
      </c>
      <c r="F478" s="194"/>
      <c r="G478" s="106">
        <v>11</v>
      </c>
      <c r="H478" s="106">
        <v>3</v>
      </c>
      <c r="I478" s="106">
        <v>22</v>
      </c>
      <c r="J478" s="106">
        <v>2201</v>
      </c>
      <c r="K478" s="106">
        <v>149.28</v>
      </c>
      <c r="L478" s="106">
        <v>11273</v>
      </c>
      <c r="M478" s="106"/>
      <c r="N478" s="106"/>
      <c r="O478" s="447">
        <v>11172.9993948766</v>
      </c>
      <c r="P478" s="106">
        <v>1667905</v>
      </c>
      <c r="Q478" s="339" t="s">
        <v>66</v>
      </c>
      <c r="R478" s="487">
        <v>370000</v>
      </c>
      <c r="S478" s="487"/>
      <c r="T478" s="487">
        <v>1297905</v>
      </c>
      <c r="U478" s="488"/>
      <c r="V478" s="339"/>
      <c r="W478" s="339"/>
      <c r="X478" s="339"/>
      <c r="Y478" s="339"/>
      <c r="Z478" s="490"/>
      <c r="AA478" s="492"/>
      <c r="AB478" s="490"/>
      <c r="AC478" s="490"/>
      <c r="AD478" s="490"/>
      <c r="AE478" s="83"/>
      <c r="AF478" s="467"/>
      <c r="AG478" s="294">
        <v>42117</v>
      </c>
      <c r="AH478" s="407"/>
      <c r="AI478" s="132">
        <f t="shared" si="153"/>
        <v>370000</v>
      </c>
      <c r="AJ478" s="132">
        <f t="shared" si="154"/>
        <v>370000</v>
      </c>
      <c r="AK478" s="132">
        <f t="shared" si="155"/>
        <v>0</v>
      </c>
      <c r="AL478" s="451" t="s">
        <v>1766</v>
      </c>
      <c r="AM478" s="133" t="s">
        <v>900</v>
      </c>
      <c r="AN478" s="246">
        <v>44866</v>
      </c>
      <c r="AO478" s="288"/>
      <c r="AP478" s="422"/>
      <c r="AQ478" s="422"/>
      <c r="AR478" s="422"/>
    </row>
    <row r="479" s="202" customFormat="1" customHeight="1" spans="1:44">
      <c r="A479" s="115" t="s">
        <v>1767</v>
      </c>
      <c r="B479" s="107" t="s">
        <v>1768</v>
      </c>
      <c r="C479" s="406" t="s">
        <v>1769</v>
      </c>
      <c r="D479" s="193" t="str">
        <f t="shared" si="143"/>
        <v>王太生410104196405062010</v>
      </c>
      <c r="E479" s="155" t="s">
        <v>1770</v>
      </c>
      <c r="F479" s="115"/>
      <c r="G479" s="115">
        <v>3</v>
      </c>
      <c r="H479" s="115">
        <v>12</v>
      </c>
      <c r="I479" s="115"/>
      <c r="J479" s="115">
        <v>1226</v>
      </c>
      <c r="K479" s="115">
        <v>56.59</v>
      </c>
      <c r="L479" s="115">
        <v>20000</v>
      </c>
      <c r="M479" s="115"/>
      <c r="N479" s="115"/>
      <c r="O479" s="431">
        <v>9652.52</v>
      </c>
      <c r="P479" s="445">
        <v>546236</v>
      </c>
      <c r="Q479" s="464" t="s">
        <v>66</v>
      </c>
      <c r="R479" s="484">
        <v>276236</v>
      </c>
      <c r="S479" s="484"/>
      <c r="T479" s="466">
        <v>270000</v>
      </c>
      <c r="U479" s="466"/>
      <c r="V479" s="405"/>
      <c r="W479" s="466">
        <v>3678</v>
      </c>
      <c r="X479" s="466">
        <v>550</v>
      </c>
      <c r="Y479" s="466"/>
      <c r="Z479" s="83" t="s">
        <v>48</v>
      </c>
      <c r="AA479" s="294"/>
      <c r="AB479" s="83">
        <v>3000</v>
      </c>
      <c r="AC479" s="83"/>
      <c r="AD479" s="83"/>
      <c r="AE479" s="83"/>
      <c r="AF479" s="467"/>
      <c r="AG479" s="294">
        <v>43075</v>
      </c>
      <c r="AH479" s="407">
        <f>R479+W479</f>
        <v>279914</v>
      </c>
      <c r="AI479" s="132">
        <f t="shared" si="153"/>
        <v>283464</v>
      </c>
      <c r="AJ479" s="132">
        <f t="shared" si="154"/>
        <v>280464</v>
      </c>
      <c r="AK479" s="132">
        <f t="shared" si="155"/>
        <v>3000</v>
      </c>
      <c r="AL479" s="471" t="s">
        <v>1771</v>
      </c>
      <c r="AM479" s="133" t="s">
        <v>900</v>
      </c>
      <c r="AN479" s="246">
        <v>44866</v>
      </c>
      <c r="AO479" s="288"/>
      <c r="AP479" s="422"/>
      <c r="AQ479" s="422"/>
      <c r="AR479" s="422"/>
    </row>
    <row r="480" s="202" customFormat="1" customHeight="1" spans="1:44">
      <c r="A480" s="337" t="s">
        <v>1772</v>
      </c>
      <c r="B480" s="404" t="s">
        <v>1773</v>
      </c>
      <c r="C480" s="406" t="s">
        <v>1774</v>
      </c>
      <c r="D480" s="193" t="str">
        <f t="shared" si="143"/>
        <v>朱秋月410221197409240845</v>
      </c>
      <c r="E480" s="155">
        <v>13253327513</v>
      </c>
      <c r="F480" s="115"/>
      <c r="G480" s="115">
        <v>2</v>
      </c>
      <c r="H480" s="115">
        <v>13</v>
      </c>
      <c r="I480" s="115"/>
      <c r="J480" s="115">
        <v>1314</v>
      </c>
      <c r="K480" s="115">
        <v>50.16</v>
      </c>
      <c r="L480" s="239">
        <v>30000</v>
      </c>
      <c r="M480" s="239"/>
      <c r="N480" s="239"/>
      <c r="O480" s="431">
        <v>14635.71</v>
      </c>
      <c r="P480" s="239">
        <v>734127</v>
      </c>
      <c r="Q480" s="464" t="s">
        <v>56</v>
      </c>
      <c r="R480" s="83">
        <v>734127</v>
      </c>
      <c r="S480" s="83"/>
      <c r="T480" s="464">
        <v>0</v>
      </c>
      <c r="U480" s="83"/>
      <c r="V480" s="83"/>
      <c r="W480" s="83">
        <v>3260</v>
      </c>
      <c r="X480" s="83">
        <v>550</v>
      </c>
      <c r="Y480" s="83"/>
      <c r="Z480" s="83" t="s">
        <v>48</v>
      </c>
      <c r="AA480" s="294"/>
      <c r="AB480" s="83"/>
      <c r="AC480" s="83"/>
      <c r="AD480" s="83"/>
      <c r="AE480" s="83"/>
      <c r="AF480" s="467"/>
      <c r="AG480" s="294">
        <v>43300</v>
      </c>
      <c r="AH480" s="407"/>
      <c r="AI480" s="132">
        <f t="shared" ref="AI480:AI482" si="156">R480+V480+W480+X480+AA480+AB480+AC480+AD480</f>
        <v>737937</v>
      </c>
      <c r="AJ480" s="341"/>
      <c r="AK480" s="132">
        <f t="shared" ref="AK480:AK482" si="157">AI480-AJ480</f>
        <v>737937</v>
      </c>
      <c r="AL480" s="451" t="s">
        <v>1678</v>
      </c>
      <c r="AM480" s="133" t="s">
        <v>900</v>
      </c>
      <c r="AN480" s="246">
        <v>44866</v>
      </c>
      <c r="AO480" s="288"/>
      <c r="AP480" s="422"/>
      <c r="AQ480" s="422"/>
      <c r="AR480" s="422"/>
    </row>
    <row r="481" s="202" customFormat="1" customHeight="1" spans="1:44">
      <c r="A481" s="337" t="s">
        <v>1775</v>
      </c>
      <c r="B481" s="404" t="s">
        <v>1773</v>
      </c>
      <c r="C481" s="406" t="s">
        <v>1774</v>
      </c>
      <c r="D481" s="193" t="str">
        <f t="shared" si="143"/>
        <v>朱秋月410221197409240845</v>
      </c>
      <c r="E481" s="155">
        <v>13253327513</v>
      </c>
      <c r="F481" s="115"/>
      <c r="G481" s="115">
        <v>2</v>
      </c>
      <c r="H481" s="115">
        <v>13</v>
      </c>
      <c r="I481" s="115"/>
      <c r="J481" s="115">
        <v>1315</v>
      </c>
      <c r="K481" s="115">
        <v>50.16</v>
      </c>
      <c r="L481" s="239">
        <v>30000</v>
      </c>
      <c r="M481" s="239"/>
      <c r="N481" s="239"/>
      <c r="O481" s="431">
        <v>14635.71</v>
      </c>
      <c r="P481" s="239">
        <v>734127</v>
      </c>
      <c r="Q481" s="464" t="s">
        <v>56</v>
      </c>
      <c r="R481" s="83">
        <v>734127</v>
      </c>
      <c r="S481" s="83"/>
      <c r="T481" s="464">
        <v>0</v>
      </c>
      <c r="U481" s="83"/>
      <c r="V481" s="83"/>
      <c r="W481" s="83">
        <v>3260</v>
      </c>
      <c r="X481" s="83">
        <v>550</v>
      </c>
      <c r="Y481" s="83"/>
      <c r="Z481" s="83" t="s">
        <v>48</v>
      </c>
      <c r="AA481" s="294"/>
      <c r="AB481" s="83"/>
      <c r="AC481" s="83"/>
      <c r="AD481" s="83"/>
      <c r="AE481" s="83"/>
      <c r="AF481" s="467"/>
      <c r="AG481" s="294">
        <v>43300</v>
      </c>
      <c r="AH481" s="407"/>
      <c r="AI481" s="132">
        <f t="shared" si="156"/>
        <v>737937</v>
      </c>
      <c r="AJ481" s="341"/>
      <c r="AK481" s="132">
        <f t="shared" si="157"/>
        <v>737937</v>
      </c>
      <c r="AL481" s="451" t="s">
        <v>1678</v>
      </c>
      <c r="AM481" s="133" t="s">
        <v>900</v>
      </c>
      <c r="AN481" s="246">
        <v>44866</v>
      </c>
      <c r="AO481" s="288"/>
      <c r="AP481" s="422"/>
      <c r="AQ481" s="422"/>
      <c r="AR481" s="422"/>
    </row>
    <row r="482" s="202" customFormat="1" customHeight="1" spans="1:44">
      <c r="A482" s="115" t="s">
        <v>1776</v>
      </c>
      <c r="B482" s="107" t="s">
        <v>1777</v>
      </c>
      <c r="C482" s="406" t="s">
        <v>1778</v>
      </c>
      <c r="D482" s="193" t="str">
        <f t="shared" si="143"/>
        <v>董超杰412728198212040039</v>
      </c>
      <c r="E482" s="166" t="s">
        <v>1779</v>
      </c>
      <c r="F482" s="156"/>
      <c r="G482" s="115">
        <v>3</v>
      </c>
      <c r="H482" s="115">
        <v>16</v>
      </c>
      <c r="I482" s="115"/>
      <c r="J482" s="115">
        <v>1606</v>
      </c>
      <c r="K482" s="115">
        <v>61.66</v>
      </c>
      <c r="L482" s="115">
        <v>20000</v>
      </c>
      <c r="M482" s="115"/>
      <c r="N482" s="115"/>
      <c r="O482" s="431">
        <v>13162</v>
      </c>
      <c r="P482" s="445">
        <v>811569</v>
      </c>
      <c r="Q482" s="464" t="s">
        <v>66</v>
      </c>
      <c r="R482" s="484">
        <v>406569</v>
      </c>
      <c r="S482" s="484"/>
      <c r="T482" s="466">
        <v>405000</v>
      </c>
      <c r="U482" s="466"/>
      <c r="V482" s="405"/>
      <c r="W482" s="466">
        <v>4007</v>
      </c>
      <c r="X482" s="466">
        <v>550</v>
      </c>
      <c r="Y482" s="466"/>
      <c r="Z482" s="83" t="s">
        <v>48</v>
      </c>
      <c r="AA482" s="294"/>
      <c r="AB482" s="83">
        <v>1262</v>
      </c>
      <c r="AC482" s="83"/>
      <c r="AD482" s="83"/>
      <c r="AE482" s="83"/>
      <c r="AF482" s="467"/>
      <c r="AG482" s="294">
        <v>43840</v>
      </c>
      <c r="AH482" s="407"/>
      <c r="AI482" s="132">
        <f t="shared" si="156"/>
        <v>412388</v>
      </c>
      <c r="AJ482" s="132">
        <f t="shared" ref="AJ482:AJ486" si="158">R482+W482+V482+X482+AA482</f>
        <v>411126</v>
      </c>
      <c r="AK482" s="132">
        <f t="shared" si="157"/>
        <v>1262</v>
      </c>
      <c r="AL482" s="471"/>
      <c r="AM482" s="133" t="s">
        <v>900</v>
      </c>
      <c r="AN482" s="246">
        <v>44866</v>
      </c>
      <c r="AO482" s="288"/>
      <c r="AP482" s="422"/>
      <c r="AQ482" s="422"/>
      <c r="AR482" s="422"/>
    </row>
    <row r="483" s="202" customFormat="1" customHeight="1" spans="1:44">
      <c r="A483" s="337" t="s">
        <v>1780</v>
      </c>
      <c r="B483" s="107" t="s">
        <v>1781</v>
      </c>
      <c r="C483" s="406" t="s">
        <v>1782</v>
      </c>
      <c r="D483" s="193" t="str">
        <f t="shared" si="143"/>
        <v>刘维菊411223197409244081</v>
      </c>
      <c r="E483" s="166" t="s">
        <v>1783</v>
      </c>
      <c r="F483" s="156"/>
      <c r="G483" s="115">
        <v>3</v>
      </c>
      <c r="H483" s="115">
        <v>14</v>
      </c>
      <c r="I483" s="115"/>
      <c r="J483" s="115">
        <v>1424</v>
      </c>
      <c r="K483" s="115">
        <v>58.01</v>
      </c>
      <c r="L483" s="115">
        <v>20000</v>
      </c>
      <c r="M483" s="115"/>
      <c r="N483" s="115"/>
      <c r="O483" s="431">
        <v>9499.08730842087</v>
      </c>
      <c r="P483" s="445">
        <v>551042</v>
      </c>
      <c r="Q483" s="464" t="s">
        <v>66</v>
      </c>
      <c r="R483" s="465">
        <v>281612</v>
      </c>
      <c r="S483" s="465"/>
      <c r="T483" s="466">
        <v>269430</v>
      </c>
      <c r="U483" s="466"/>
      <c r="V483" s="466"/>
      <c r="W483" s="466"/>
      <c r="X483" s="466"/>
      <c r="Y483" s="466"/>
      <c r="Z483" s="83"/>
      <c r="AA483" s="294"/>
      <c r="AB483" s="83"/>
      <c r="AC483" s="83"/>
      <c r="AD483" s="83"/>
      <c r="AE483" s="83"/>
      <c r="AF483" s="467"/>
      <c r="AG483" s="294">
        <v>42580</v>
      </c>
      <c r="AH483" s="407"/>
      <c r="AI483" s="132">
        <f t="shared" ref="AI483:AI486" si="159">R483+V483+W483+X483+AA483+AB483+AC483+AD483</f>
        <v>281612</v>
      </c>
      <c r="AJ483" s="341"/>
      <c r="AK483" s="132">
        <f t="shared" ref="AK483:AK486" si="160">AI483-AJ483</f>
        <v>281612</v>
      </c>
      <c r="AL483" s="451" t="s">
        <v>1678</v>
      </c>
      <c r="AM483" s="133" t="s">
        <v>900</v>
      </c>
      <c r="AN483" s="246">
        <v>44866</v>
      </c>
      <c r="AO483" s="288"/>
      <c r="AP483" s="422"/>
      <c r="AQ483" s="422"/>
      <c r="AR483" s="422"/>
    </row>
    <row r="484" s="202" customFormat="1" customHeight="1" spans="1:44">
      <c r="A484" s="115" t="s">
        <v>1784</v>
      </c>
      <c r="B484" s="115" t="s">
        <v>1785</v>
      </c>
      <c r="C484" s="549" t="s">
        <v>1786</v>
      </c>
      <c r="D484" s="193" t="str">
        <f t="shared" si="143"/>
        <v>王高林410102194105123051</v>
      </c>
      <c r="E484" s="155">
        <v>13598409910</v>
      </c>
      <c r="F484" s="115" t="s">
        <v>1787</v>
      </c>
      <c r="G484" s="115">
        <v>10</v>
      </c>
      <c r="H484" s="115">
        <v>2</v>
      </c>
      <c r="I484" s="115">
        <v>9</v>
      </c>
      <c r="J484" s="115">
        <v>906</v>
      </c>
      <c r="K484" s="115">
        <v>99.52</v>
      </c>
      <c r="L484" s="115">
        <v>8600</v>
      </c>
      <c r="M484" s="115"/>
      <c r="N484" s="115"/>
      <c r="O484" s="431">
        <v>8500</v>
      </c>
      <c r="P484" s="239">
        <v>845920</v>
      </c>
      <c r="Q484" s="464" t="s">
        <v>56</v>
      </c>
      <c r="R484" s="83">
        <v>876602</v>
      </c>
      <c r="S484" s="83">
        <v>-30682</v>
      </c>
      <c r="T484" s="464" t="s">
        <v>47</v>
      </c>
      <c r="U484" s="401"/>
      <c r="V484" s="83"/>
      <c r="W484" s="83">
        <v>6468</v>
      </c>
      <c r="X484" s="83">
        <v>80</v>
      </c>
      <c r="Y484" s="83"/>
      <c r="Z484" s="83" t="s">
        <v>48</v>
      </c>
      <c r="AA484" s="294"/>
      <c r="AB484" s="83"/>
      <c r="AC484" s="83"/>
      <c r="AD484" s="83"/>
      <c r="AE484" s="83"/>
      <c r="AF484" s="467"/>
      <c r="AG484" s="294">
        <v>44002</v>
      </c>
      <c r="AH484" s="407"/>
      <c r="AI484" s="132">
        <f t="shared" si="159"/>
        <v>883150</v>
      </c>
      <c r="AJ484" s="132">
        <f t="shared" si="158"/>
        <v>883150</v>
      </c>
      <c r="AK484" s="132">
        <f t="shared" si="160"/>
        <v>0</v>
      </c>
      <c r="AL484" s="471"/>
      <c r="AM484" s="133" t="s">
        <v>900</v>
      </c>
      <c r="AN484" s="246">
        <v>44866</v>
      </c>
      <c r="AO484" s="288"/>
      <c r="AP484" s="422"/>
      <c r="AQ484" s="422"/>
      <c r="AR484" s="422"/>
    </row>
    <row r="485" s="202" customFormat="1" customHeight="1" spans="1:44">
      <c r="A485" s="115" t="s">
        <v>1788</v>
      </c>
      <c r="B485" s="115" t="s">
        <v>1789</v>
      </c>
      <c r="C485" s="403" t="s">
        <v>1790</v>
      </c>
      <c r="D485" s="193" t="str">
        <f t="shared" si="143"/>
        <v>慕军41012619541105001X</v>
      </c>
      <c r="E485" s="166" t="s">
        <v>1791</v>
      </c>
      <c r="F485" s="156"/>
      <c r="G485" s="239">
        <v>9</v>
      </c>
      <c r="H485" s="115">
        <v>3</v>
      </c>
      <c r="I485" s="115">
        <v>28</v>
      </c>
      <c r="J485" s="115">
        <v>2801</v>
      </c>
      <c r="K485" s="115">
        <v>93.4</v>
      </c>
      <c r="L485" s="115">
        <v>8854</v>
      </c>
      <c r="M485" s="115"/>
      <c r="N485" s="115"/>
      <c r="O485" s="455">
        <v>8753.6</v>
      </c>
      <c r="P485" s="239">
        <v>817586</v>
      </c>
      <c r="Q485" s="464" t="s">
        <v>56</v>
      </c>
      <c r="R485" s="464">
        <v>817586</v>
      </c>
      <c r="S485" s="464"/>
      <c r="T485" s="464" t="s">
        <v>47</v>
      </c>
      <c r="U485" s="464"/>
      <c r="V485" s="83"/>
      <c r="W485" s="83">
        <v>6071</v>
      </c>
      <c r="X485" s="83">
        <v>80</v>
      </c>
      <c r="Y485" s="83"/>
      <c r="Z485" s="83" t="s">
        <v>48</v>
      </c>
      <c r="AA485" s="294"/>
      <c r="AB485" s="83"/>
      <c r="AC485" s="83"/>
      <c r="AD485" s="83"/>
      <c r="AE485" s="83"/>
      <c r="AF485" s="467"/>
      <c r="AG485" s="294">
        <v>43257</v>
      </c>
      <c r="AH485" s="407">
        <f>R485+W485+X485</f>
        <v>823737</v>
      </c>
      <c r="AI485" s="132">
        <f t="shared" si="159"/>
        <v>823737</v>
      </c>
      <c r="AJ485" s="132">
        <f t="shared" si="158"/>
        <v>823737</v>
      </c>
      <c r="AK485" s="132">
        <f t="shared" si="160"/>
        <v>0</v>
      </c>
      <c r="AL485" s="471"/>
      <c r="AM485" s="133" t="s">
        <v>900</v>
      </c>
      <c r="AN485" s="246">
        <v>44866</v>
      </c>
      <c r="AO485" s="288"/>
      <c r="AP485" s="422"/>
      <c r="AQ485" s="422"/>
      <c r="AR485" s="422"/>
    </row>
    <row r="486" s="420" customFormat="1" customHeight="1" spans="1:44">
      <c r="A486" s="106" t="s">
        <v>1792</v>
      </c>
      <c r="B486" s="482" t="s">
        <v>1793</v>
      </c>
      <c r="C486" s="478" t="s">
        <v>1794</v>
      </c>
      <c r="D486" s="193" t="str">
        <f t="shared" si="143"/>
        <v>张莉412721199002173829</v>
      </c>
      <c r="E486" s="444" t="s">
        <v>1795</v>
      </c>
      <c r="F486" s="167"/>
      <c r="G486" s="106">
        <v>2</v>
      </c>
      <c r="H486" s="106">
        <v>24</v>
      </c>
      <c r="I486" s="106"/>
      <c r="J486" s="106">
        <v>2401</v>
      </c>
      <c r="K486" s="106">
        <v>43.56</v>
      </c>
      <c r="L486" s="109">
        <v>30000</v>
      </c>
      <c r="M486" s="109"/>
      <c r="N486" s="109"/>
      <c r="O486" s="455">
        <v>14807.16</v>
      </c>
      <c r="P486" s="109">
        <v>645000</v>
      </c>
      <c r="Q486" s="486" t="s">
        <v>66</v>
      </c>
      <c r="R486" s="468">
        <v>325000</v>
      </c>
      <c r="S486" s="468"/>
      <c r="T486" s="486">
        <v>320000</v>
      </c>
      <c r="U486" s="468"/>
      <c r="V486" s="110"/>
      <c r="W486" s="491">
        <v>2831</v>
      </c>
      <c r="X486" s="110">
        <v>550</v>
      </c>
      <c r="Y486" s="110"/>
      <c r="Z486" s="468"/>
      <c r="AA486" s="474"/>
      <c r="AB486" s="468"/>
      <c r="AC486" s="468"/>
      <c r="AD486" s="468"/>
      <c r="AE486" s="468"/>
      <c r="AF486" s="469"/>
      <c r="AG486" s="474">
        <v>43273</v>
      </c>
      <c r="AH486" s="475">
        <f>R486+W486+X486</f>
        <v>328381</v>
      </c>
      <c r="AI486" s="289">
        <f t="shared" si="159"/>
        <v>328381</v>
      </c>
      <c r="AJ486" s="289">
        <f t="shared" si="158"/>
        <v>328381</v>
      </c>
      <c r="AK486" s="289">
        <f t="shared" si="160"/>
        <v>0</v>
      </c>
      <c r="AL486" s="476"/>
      <c r="AM486" s="129" t="s">
        <v>900</v>
      </c>
      <c r="AN486" s="290">
        <v>44866</v>
      </c>
      <c r="AO486" s="477"/>
      <c r="AP486" s="424"/>
      <c r="AQ486" s="424"/>
      <c r="AR486" s="424"/>
    </row>
    <row r="487" s="202" customFormat="1" customHeight="1" spans="1:44">
      <c r="A487" s="337" t="s">
        <v>1796</v>
      </c>
      <c r="B487" s="115" t="s">
        <v>1797</v>
      </c>
      <c r="C487" s="83" t="s">
        <v>1798</v>
      </c>
      <c r="D487" s="193" t="str">
        <f t="shared" si="143"/>
        <v>张俊娥410105197402130023</v>
      </c>
      <c r="E487" s="155">
        <v>15137199969</v>
      </c>
      <c r="F487" s="115"/>
      <c r="G487" s="115">
        <v>10</v>
      </c>
      <c r="H487" s="115">
        <v>2</v>
      </c>
      <c r="I487" s="115">
        <v>9</v>
      </c>
      <c r="J487" s="115">
        <v>907</v>
      </c>
      <c r="K487" s="115">
        <v>99.52</v>
      </c>
      <c r="L487" s="115">
        <v>17900</v>
      </c>
      <c r="M487" s="115"/>
      <c r="N487" s="115"/>
      <c r="O487" s="431">
        <v>15500</v>
      </c>
      <c r="P487" s="239">
        <v>1542560</v>
      </c>
      <c r="Q487" s="464" t="s">
        <v>66</v>
      </c>
      <c r="R487" s="83">
        <v>810450</v>
      </c>
      <c r="S487" s="83"/>
      <c r="T487" s="464">
        <v>732110</v>
      </c>
      <c r="U487" s="401"/>
      <c r="V487" s="83"/>
      <c r="W487" s="83"/>
      <c r="X487" s="83"/>
      <c r="Y487" s="83"/>
      <c r="Z487" s="83"/>
      <c r="AA487" s="294"/>
      <c r="AB487" s="83"/>
      <c r="AC487" s="83"/>
      <c r="AD487" s="83"/>
      <c r="AE487" s="83"/>
      <c r="AF487" s="467"/>
      <c r="AG487" s="294"/>
      <c r="AH487" s="407"/>
      <c r="AI487" s="289">
        <f t="shared" ref="AI487:AI498" si="161">R487+V487+W487+X487+AA487+AB487+AC487+AD487</f>
        <v>810450</v>
      </c>
      <c r="AJ487" s="341"/>
      <c r="AK487" s="132">
        <f t="shared" ref="AK487:AK498" si="162">AI487-AJ487</f>
        <v>810450</v>
      </c>
      <c r="AL487" s="451" t="s">
        <v>1799</v>
      </c>
      <c r="AM487" s="133" t="s">
        <v>900</v>
      </c>
      <c r="AN487" s="246">
        <v>44866</v>
      </c>
      <c r="AO487" s="288"/>
      <c r="AP487" s="422"/>
      <c r="AQ487" s="422"/>
      <c r="AR487" s="422"/>
    </row>
    <row r="488" s="202" customFormat="1" customHeight="1" spans="1:44">
      <c r="A488" s="115" t="s">
        <v>1800</v>
      </c>
      <c r="B488" s="339" t="s">
        <v>1801</v>
      </c>
      <c r="C488" s="460" t="s">
        <v>1802</v>
      </c>
      <c r="D488" s="193" t="str">
        <f t="shared" si="143"/>
        <v>史珂410104199301020063</v>
      </c>
      <c r="E488" s="444" t="s">
        <v>1803</v>
      </c>
      <c r="F488" s="119"/>
      <c r="G488" s="106">
        <v>11</v>
      </c>
      <c r="H488" s="106">
        <v>3</v>
      </c>
      <c r="I488" s="106">
        <v>17</v>
      </c>
      <c r="J488" s="106">
        <v>1703</v>
      </c>
      <c r="K488" s="106">
        <v>151.44</v>
      </c>
      <c r="L488" s="106">
        <v>8662</v>
      </c>
      <c r="M488" s="106"/>
      <c r="N488" s="106"/>
      <c r="O488" s="447">
        <v>8562.401202</v>
      </c>
      <c r="P488" s="106">
        <v>1296690</v>
      </c>
      <c r="Q488" s="339" t="s">
        <v>56</v>
      </c>
      <c r="R488" s="487">
        <v>1296690</v>
      </c>
      <c r="S488" s="339"/>
      <c r="T488" s="339" t="s">
        <v>47</v>
      </c>
      <c r="U488" s="488"/>
      <c r="V488" s="339"/>
      <c r="W488" s="339">
        <v>9843</v>
      </c>
      <c r="X488" s="339">
        <v>80</v>
      </c>
      <c r="Y488" s="339"/>
      <c r="Z488" s="490" t="s">
        <v>48</v>
      </c>
      <c r="AA488" s="492"/>
      <c r="AB488" s="490"/>
      <c r="AC488" s="490"/>
      <c r="AD488" s="490"/>
      <c r="AE488" s="83"/>
      <c r="AF488" s="467"/>
      <c r="AG488" s="294">
        <v>42145</v>
      </c>
      <c r="AH488" s="407">
        <f>W488+X488</f>
        <v>9923</v>
      </c>
      <c r="AI488" s="132">
        <f t="shared" si="161"/>
        <v>1306613</v>
      </c>
      <c r="AJ488" s="132">
        <f t="shared" ref="AJ488:AJ491" si="163">R488+W488+V488+X488+AA488</f>
        <v>1306613</v>
      </c>
      <c r="AK488" s="132">
        <f t="shared" si="162"/>
        <v>0</v>
      </c>
      <c r="AL488" s="471"/>
      <c r="AM488" s="133" t="s">
        <v>900</v>
      </c>
      <c r="AN488" s="246">
        <v>44866</v>
      </c>
      <c r="AO488" s="288"/>
      <c r="AP488" s="422"/>
      <c r="AQ488" s="422"/>
      <c r="AR488" s="422"/>
    </row>
    <row r="489" s="202" customFormat="1" customHeight="1" spans="1:44">
      <c r="A489" s="115" t="s">
        <v>1804</v>
      </c>
      <c r="B489" s="107" t="s">
        <v>1805</v>
      </c>
      <c r="C489" s="406" t="s">
        <v>1806</v>
      </c>
      <c r="D489" s="193" t="str">
        <f t="shared" si="143"/>
        <v>闫雪兰411121195305015543</v>
      </c>
      <c r="E489" s="155">
        <v>18569960939</v>
      </c>
      <c r="F489" s="115"/>
      <c r="G489" s="115">
        <v>3</v>
      </c>
      <c r="H489" s="115">
        <v>11</v>
      </c>
      <c r="I489" s="115"/>
      <c r="J489" s="115">
        <v>1114</v>
      </c>
      <c r="K489" s="115">
        <v>75.81</v>
      </c>
      <c r="L489" s="115">
        <v>20000</v>
      </c>
      <c r="M489" s="115"/>
      <c r="N489" s="115"/>
      <c r="O489" s="431">
        <v>8480.71</v>
      </c>
      <c r="P489" s="445">
        <v>642923</v>
      </c>
      <c r="Q489" s="464" t="s">
        <v>56</v>
      </c>
      <c r="R489" s="405">
        <v>642923</v>
      </c>
      <c r="S489" s="405"/>
      <c r="T489" s="466" t="s">
        <v>47</v>
      </c>
      <c r="U489" s="466"/>
      <c r="V489" s="466"/>
      <c r="W489" s="466">
        <v>4927</v>
      </c>
      <c r="X489" s="466">
        <v>550</v>
      </c>
      <c r="Y489" s="466"/>
      <c r="Z489" s="83" t="s">
        <v>48</v>
      </c>
      <c r="AA489" s="294"/>
      <c r="AB489" s="83"/>
      <c r="AC489" s="83"/>
      <c r="AD489" s="83"/>
      <c r="AE489" s="83"/>
      <c r="AF489" s="467"/>
      <c r="AG489" s="294">
        <v>43319</v>
      </c>
      <c r="AH489" s="407">
        <f>R489+W489+X489</f>
        <v>648400</v>
      </c>
      <c r="AI489" s="132">
        <f t="shared" si="161"/>
        <v>648400</v>
      </c>
      <c r="AJ489" s="132">
        <f t="shared" si="163"/>
        <v>648400</v>
      </c>
      <c r="AK489" s="132">
        <f t="shared" si="162"/>
        <v>0</v>
      </c>
      <c r="AL489" s="471"/>
      <c r="AM489" s="133" t="s">
        <v>900</v>
      </c>
      <c r="AN489" s="246">
        <v>44866</v>
      </c>
      <c r="AO489" s="288"/>
      <c r="AP489" s="422"/>
      <c r="AQ489" s="422"/>
      <c r="AR489" s="422"/>
    </row>
    <row r="490" s="202" customFormat="1" customHeight="1" spans="1:44">
      <c r="A490" s="115" t="s">
        <v>1807</v>
      </c>
      <c r="B490" s="115" t="s">
        <v>1808</v>
      </c>
      <c r="C490" s="549" t="s">
        <v>1809</v>
      </c>
      <c r="D490" s="193" t="str">
        <f t="shared" si="143"/>
        <v>姜明伟411526199304150067</v>
      </c>
      <c r="E490" s="155">
        <v>13526844899</v>
      </c>
      <c r="F490" s="115" t="s">
        <v>1810</v>
      </c>
      <c r="G490" s="115">
        <v>10</v>
      </c>
      <c r="H490" s="115">
        <v>2</v>
      </c>
      <c r="I490" s="115">
        <v>5</v>
      </c>
      <c r="J490" s="115">
        <v>506</v>
      </c>
      <c r="K490" s="115">
        <v>98.92</v>
      </c>
      <c r="L490" s="115">
        <v>8600</v>
      </c>
      <c r="M490" s="115"/>
      <c r="N490" s="115"/>
      <c r="O490" s="431">
        <v>8500</v>
      </c>
      <c r="P490" s="239">
        <v>840820</v>
      </c>
      <c r="Q490" s="464" t="s">
        <v>56</v>
      </c>
      <c r="R490" s="83">
        <v>876641</v>
      </c>
      <c r="S490" s="83">
        <v>-35821</v>
      </c>
      <c r="T490" s="464" t="s">
        <v>47</v>
      </c>
      <c r="U490" s="401"/>
      <c r="V490" s="83"/>
      <c r="W490" s="83">
        <v>6429</v>
      </c>
      <c r="X490" s="83">
        <v>80</v>
      </c>
      <c r="Y490" s="83"/>
      <c r="Z490" s="83" t="s">
        <v>48</v>
      </c>
      <c r="AA490" s="294"/>
      <c r="AB490" s="83"/>
      <c r="AC490" s="83"/>
      <c r="AD490" s="83"/>
      <c r="AE490" s="83"/>
      <c r="AF490" s="467"/>
      <c r="AG490" s="294">
        <v>43976</v>
      </c>
      <c r="AH490" s="407"/>
      <c r="AI490" s="132">
        <f t="shared" si="161"/>
        <v>883150</v>
      </c>
      <c r="AJ490" s="132">
        <f t="shared" si="163"/>
        <v>883150</v>
      </c>
      <c r="AK490" s="132">
        <f t="shared" si="162"/>
        <v>0</v>
      </c>
      <c r="AL490" s="471"/>
      <c r="AM490" s="133" t="s">
        <v>900</v>
      </c>
      <c r="AN490" s="246">
        <v>44866</v>
      </c>
      <c r="AO490" s="288"/>
      <c r="AP490" s="422"/>
      <c r="AQ490" s="422"/>
      <c r="AR490" s="422"/>
    </row>
    <row r="491" s="202" customFormat="1" customHeight="1" spans="1:44">
      <c r="A491" s="115" t="s">
        <v>1811</v>
      </c>
      <c r="B491" s="339" t="s">
        <v>1812</v>
      </c>
      <c r="C491" s="460" t="s">
        <v>1813</v>
      </c>
      <c r="D491" s="193" t="str">
        <f t="shared" si="143"/>
        <v>王丹410223197903200040</v>
      </c>
      <c r="E491" s="107">
        <v>13653717299</v>
      </c>
      <c r="F491" s="194"/>
      <c r="G491" s="106">
        <v>11</v>
      </c>
      <c r="H491" s="106">
        <v>3</v>
      </c>
      <c r="I491" s="106">
        <v>8</v>
      </c>
      <c r="J491" s="106">
        <v>801</v>
      </c>
      <c r="K491" s="115">
        <v>149.28</v>
      </c>
      <c r="L491" s="106">
        <v>8910</v>
      </c>
      <c r="M491" s="106"/>
      <c r="N491" s="106"/>
      <c r="O491" s="447">
        <v>8810.397364</v>
      </c>
      <c r="P491" s="239">
        <v>1315216</v>
      </c>
      <c r="Q491" s="339" t="s">
        <v>66</v>
      </c>
      <c r="R491" s="487">
        <v>400000</v>
      </c>
      <c r="S491" s="487"/>
      <c r="T491" s="487">
        <v>915216.11849792</v>
      </c>
      <c r="U491" s="488"/>
      <c r="V491" s="339"/>
      <c r="W491" s="339"/>
      <c r="X491" s="339"/>
      <c r="Y491" s="339"/>
      <c r="Z491" s="490"/>
      <c r="AA491" s="492"/>
      <c r="AB491" s="490"/>
      <c r="AC491" s="490"/>
      <c r="AD491" s="490"/>
      <c r="AE491" s="83"/>
      <c r="AF491" s="467"/>
      <c r="AG491" s="294">
        <v>41656</v>
      </c>
      <c r="AH491" s="407">
        <f>R491</f>
        <v>400000</v>
      </c>
      <c r="AI491" s="132">
        <f t="shared" si="161"/>
        <v>400000</v>
      </c>
      <c r="AJ491" s="132">
        <f t="shared" si="163"/>
        <v>400000</v>
      </c>
      <c r="AK491" s="132">
        <f t="shared" si="162"/>
        <v>0</v>
      </c>
      <c r="AL491" s="451" t="s">
        <v>1814</v>
      </c>
      <c r="AM491" s="133" t="s">
        <v>900</v>
      </c>
      <c r="AN491" s="246">
        <v>44866</v>
      </c>
      <c r="AO491" s="288"/>
      <c r="AP491" s="422"/>
      <c r="AQ491" s="422"/>
      <c r="AR491" s="422"/>
    </row>
    <row r="492" s="202" customFormat="1" customHeight="1" spans="1:44">
      <c r="A492" s="337" t="s">
        <v>1815</v>
      </c>
      <c r="B492" s="107" t="s">
        <v>1816</v>
      </c>
      <c r="C492" s="406" t="s">
        <v>1817</v>
      </c>
      <c r="D492" s="193" t="str">
        <f t="shared" si="143"/>
        <v>王盼410102198807280786</v>
      </c>
      <c r="E492" s="155" t="s">
        <v>1818</v>
      </c>
      <c r="F492" s="115"/>
      <c r="G492" s="115">
        <v>3</v>
      </c>
      <c r="H492" s="115">
        <v>28</v>
      </c>
      <c r="I492" s="115"/>
      <c r="J492" s="115">
        <v>2835</v>
      </c>
      <c r="K492" s="115">
        <v>55.18</v>
      </c>
      <c r="L492" s="239">
        <v>20000</v>
      </c>
      <c r="M492" s="239"/>
      <c r="N492" s="239"/>
      <c r="O492" s="431">
        <v>13000</v>
      </c>
      <c r="P492" s="445">
        <v>717340</v>
      </c>
      <c r="Q492" s="464" t="s">
        <v>66</v>
      </c>
      <c r="R492" s="465">
        <v>359060</v>
      </c>
      <c r="S492" s="465"/>
      <c r="T492" s="466">
        <v>358280</v>
      </c>
      <c r="U492" s="466"/>
      <c r="V492" s="466"/>
      <c r="W492" s="466"/>
      <c r="X492" s="466"/>
      <c r="Y492" s="466"/>
      <c r="Z492" s="83"/>
      <c r="AA492" s="294"/>
      <c r="AB492" s="83"/>
      <c r="AC492" s="83"/>
      <c r="AD492" s="83"/>
      <c r="AE492" s="83"/>
      <c r="AF492" s="467"/>
      <c r="AG492" s="294">
        <v>42995</v>
      </c>
      <c r="AH492" s="407"/>
      <c r="AI492" s="132">
        <f t="shared" si="161"/>
        <v>359060</v>
      </c>
      <c r="AJ492" s="341"/>
      <c r="AK492" s="132">
        <f t="shared" si="162"/>
        <v>359060</v>
      </c>
      <c r="AL492" s="451" t="s">
        <v>1678</v>
      </c>
      <c r="AM492" s="133" t="s">
        <v>900</v>
      </c>
      <c r="AN492" s="246">
        <v>44866</v>
      </c>
      <c r="AO492" s="288"/>
      <c r="AP492" s="422"/>
      <c r="AQ492" s="422"/>
      <c r="AR492" s="422"/>
    </row>
    <row r="493" s="202" customFormat="1" customHeight="1" spans="1:44">
      <c r="A493" s="115" t="s">
        <v>1819</v>
      </c>
      <c r="B493" s="339" t="s">
        <v>1820</v>
      </c>
      <c r="C493" s="460" t="s">
        <v>1821</v>
      </c>
      <c r="D493" s="193" t="str">
        <f t="shared" si="143"/>
        <v>海莎410105198302241628</v>
      </c>
      <c r="E493" s="107">
        <v>13673622090</v>
      </c>
      <c r="F493" s="194"/>
      <c r="G493" s="106">
        <v>11</v>
      </c>
      <c r="H493" s="106">
        <v>3</v>
      </c>
      <c r="I493" s="106">
        <v>9</v>
      </c>
      <c r="J493" s="106">
        <v>901</v>
      </c>
      <c r="K493" s="106">
        <v>149.28</v>
      </c>
      <c r="L493" s="106">
        <v>8918</v>
      </c>
      <c r="M493" s="106"/>
      <c r="N493" s="106"/>
      <c r="O493" s="447">
        <v>8818.40113</v>
      </c>
      <c r="P493" s="106">
        <v>1316411</v>
      </c>
      <c r="Q493" s="339" t="s">
        <v>66</v>
      </c>
      <c r="R493" s="487">
        <v>658411</v>
      </c>
      <c r="S493" s="339"/>
      <c r="T493" s="339" t="s">
        <v>47</v>
      </c>
      <c r="U493" s="488"/>
      <c r="V493" s="487">
        <v>658000</v>
      </c>
      <c r="W493" s="339">
        <v>9703</v>
      </c>
      <c r="X493" s="339">
        <v>80</v>
      </c>
      <c r="Y493" s="339"/>
      <c r="Z493" s="490" t="s">
        <v>48</v>
      </c>
      <c r="AA493" s="492"/>
      <c r="AB493" s="490"/>
      <c r="AC493" s="490"/>
      <c r="AD493" s="490"/>
      <c r="AE493" s="83"/>
      <c r="AF493" s="467"/>
      <c r="AG493" s="294">
        <v>43687</v>
      </c>
      <c r="AH493" s="407">
        <f>W493</f>
        <v>9703</v>
      </c>
      <c r="AI493" s="132">
        <f t="shared" si="161"/>
        <v>1326194</v>
      </c>
      <c r="AJ493" s="132">
        <f t="shared" ref="AJ493:AJ498" si="164">R493+W493+V493+X493+AA493</f>
        <v>1326194</v>
      </c>
      <c r="AK493" s="132">
        <f t="shared" si="162"/>
        <v>0</v>
      </c>
      <c r="AL493" s="471" t="s">
        <v>1822</v>
      </c>
      <c r="AM493" s="133" t="s">
        <v>900</v>
      </c>
      <c r="AN493" s="246">
        <v>44866</v>
      </c>
      <c r="AO493" s="288"/>
      <c r="AP493" s="422"/>
      <c r="AQ493" s="422"/>
      <c r="AR493" s="422"/>
    </row>
    <row r="494" s="202" customFormat="1" customHeight="1" spans="1:44">
      <c r="A494" s="115" t="s">
        <v>1823</v>
      </c>
      <c r="B494" s="107" t="s">
        <v>1824</v>
      </c>
      <c r="C494" s="406" t="s">
        <v>1825</v>
      </c>
      <c r="D494" s="193" t="str">
        <f t="shared" si="143"/>
        <v>邢旭东410185197912060012</v>
      </c>
      <c r="E494" s="166" t="s">
        <v>1826</v>
      </c>
      <c r="F494" s="156"/>
      <c r="G494" s="115">
        <v>3</v>
      </c>
      <c r="H494" s="115">
        <v>23</v>
      </c>
      <c r="I494" s="115"/>
      <c r="J494" s="115">
        <v>2335</v>
      </c>
      <c r="K494" s="115">
        <v>55.18</v>
      </c>
      <c r="L494" s="115">
        <v>30000</v>
      </c>
      <c r="M494" s="115"/>
      <c r="N494" s="115"/>
      <c r="O494" s="431">
        <v>14679.52</v>
      </c>
      <c r="P494" s="445">
        <v>810016</v>
      </c>
      <c r="Q494" s="464" t="s">
        <v>56</v>
      </c>
      <c r="R494" s="465">
        <v>810016</v>
      </c>
      <c r="S494" s="465"/>
      <c r="T494" s="466" t="s">
        <v>47</v>
      </c>
      <c r="U494" s="466"/>
      <c r="V494" s="466"/>
      <c r="W494" s="466">
        <v>3586</v>
      </c>
      <c r="X494" s="466">
        <v>550</v>
      </c>
      <c r="Y494" s="466"/>
      <c r="Z494" s="83" t="s">
        <v>48</v>
      </c>
      <c r="AA494" s="294"/>
      <c r="AB494" s="83"/>
      <c r="AC494" s="83"/>
      <c r="AD494" s="83"/>
      <c r="AE494" s="83"/>
      <c r="AF494" s="467"/>
      <c r="AG494" s="294">
        <v>43112</v>
      </c>
      <c r="AH494" s="407">
        <f>733000</f>
        <v>733000</v>
      </c>
      <c r="AI494" s="132">
        <f t="shared" si="161"/>
        <v>814152</v>
      </c>
      <c r="AJ494" s="132">
        <f t="shared" si="164"/>
        <v>814152</v>
      </c>
      <c r="AK494" s="132">
        <f t="shared" si="162"/>
        <v>0</v>
      </c>
      <c r="AL494" s="471"/>
      <c r="AM494" s="133" t="s">
        <v>900</v>
      </c>
      <c r="AN494" s="246">
        <v>44866</v>
      </c>
      <c r="AO494" s="288"/>
      <c r="AP494" s="422"/>
      <c r="AQ494" s="422"/>
      <c r="AR494" s="422"/>
    </row>
    <row r="495" s="202" customFormat="1" customHeight="1" spans="1:44">
      <c r="A495" s="115" t="s">
        <v>1827</v>
      </c>
      <c r="B495" s="107" t="s">
        <v>1828</v>
      </c>
      <c r="C495" s="406" t="s">
        <v>1829</v>
      </c>
      <c r="D495" s="193" t="str">
        <f t="shared" si="143"/>
        <v>苏康欣410105200601160027</v>
      </c>
      <c r="E495" s="155" t="s">
        <v>1830</v>
      </c>
      <c r="F495" s="115"/>
      <c r="G495" s="115">
        <v>3</v>
      </c>
      <c r="H495" s="115">
        <v>9</v>
      </c>
      <c r="I495" s="115"/>
      <c r="J495" s="115">
        <v>920</v>
      </c>
      <c r="K495" s="115">
        <v>73.25</v>
      </c>
      <c r="L495" s="115">
        <v>20000</v>
      </c>
      <c r="M495" s="115"/>
      <c r="N495" s="115"/>
      <c r="O495" s="431">
        <v>8424.18</v>
      </c>
      <c r="P495" s="445">
        <v>617071</v>
      </c>
      <c r="Q495" s="464" t="s">
        <v>56</v>
      </c>
      <c r="R495" s="465">
        <v>617071</v>
      </c>
      <c r="S495" s="465"/>
      <c r="T495" s="466" t="s">
        <v>47</v>
      </c>
      <c r="U495" s="466"/>
      <c r="V495" s="466"/>
      <c r="W495" s="466">
        <v>4761</v>
      </c>
      <c r="X495" s="466">
        <v>550</v>
      </c>
      <c r="Y495" s="466"/>
      <c r="Z495" s="83" t="s">
        <v>48</v>
      </c>
      <c r="AA495" s="294"/>
      <c r="AB495" s="83"/>
      <c r="AC495" s="83"/>
      <c r="AD495" s="83"/>
      <c r="AE495" s="83"/>
      <c r="AF495" s="467"/>
      <c r="AG495" s="294">
        <v>42748</v>
      </c>
      <c r="AH495" s="407"/>
      <c r="AI495" s="132">
        <f t="shared" si="161"/>
        <v>622382</v>
      </c>
      <c r="AJ495" s="132">
        <f t="shared" si="164"/>
        <v>622382</v>
      </c>
      <c r="AK495" s="132">
        <f t="shared" si="162"/>
        <v>0</v>
      </c>
      <c r="AL495" s="471"/>
      <c r="AM495" s="133" t="s">
        <v>900</v>
      </c>
      <c r="AN495" s="246">
        <v>44866</v>
      </c>
      <c r="AO495" s="288"/>
      <c r="AP495" s="422"/>
      <c r="AQ495" s="422"/>
      <c r="AR495" s="422"/>
    </row>
    <row r="496" s="202" customFormat="1" customHeight="1" spans="1:44">
      <c r="A496" s="115" t="s">
        <v>1831</v>
      </c>
      <c r="B496" s="107" t="s">
        <v>1828</v>
      </c>
      <c r="C496" s="406" t="s">
        <v>1829</v>
      </c>
      <c r="D496" s="193" t="str">
        <f t="shared" si="143"/>
        <v>苏康欣410105200601160027</v>
      </c>
      <c r="E496" s="155" t="s">
        <v>1830</v>
      </c>
      <c r="F496" s="115"/>
      <c r="G496" s="115">
        <v>3</v>
      </c>
      <c r="H496" s="115">
        <v>9</v>
      </c>
      <c r="I496" s="115"/>
      <c r="J496" s="115">
        <v>921</v>
      </c>
      <c r="K496" s="115">
        <v>71.53</v>
      </c>
      <c r="L496" s="115">
        <v>20000</v>
      </c>
      <c r="M496" s="115"/>
      <c r="N496" s="115"/>
      <c r="O496" s="431">
        <v>8423.68</v>
      </c>
      <c r="P496" s="445">
        <v>602546</v>
      </c>
      <c r="Q496" s="464" t="s">
        <v>56</v>
      </c>
      <c r="R496" s="465">
        <v>602546</v>
      </c>
      <c r="S496" s="465"/>
      <c r="T496" s="466" t="s">
        <v>47</v>
      </c>
      <c r="U496" s="466"/>
      <c r="V496" s="466"/>
      <c r="W496" s="466">
        <v>4649</v>
      </c>
      <c r="X496" s="466">
        <v>550</v>
      </c>
      <c r="Y496" s="466"/>
      <c r="Z496" s="83" t="s">
        <v>48</v>
      </c>
      <c r="AA496" s="294"/>
      <c r="AB496" s="83"/>
      <c r="AC496" s="83"/>
      <c r="AD496" s="83"/>
      <c r="AE496" s="83"/>
      <c r="AF496" s="467"/>
      <c r="AG496" s="294">
        <v>42748</v>
      </c>
      <c r="AH496" s="407"/>
      <c r="AI496" s="132">
        <f t="shared" si="161"/>
        <v>607745</v>
      </c>
      <c r="AJ496" s="132">
        <f t="shared" si="164"/>
        <v>607745</v>
      </c>
      <c r="AK496" s="132">
        <f t="shared" si="162"/>
        <v>0</v>
      </c>
      <c r="AL496" s="471"/>
      <c r="AM496" s="133" t="s">
        <v>900</v>
      </c>
      <c r="AN496" s="246">
        <v>44866</v>
      </c>
      <c r="AO496" s="288"/>
      <c r="AP496" s="422"/>
      <c r="AQ496" s="422"/>
      <c r="AR496" s="422"/>
    </row>
    <row r="497" s="202" customFormat="1" customHeight="1" spans="1:44">
      <c r="A497" s="115" t="s">
        <v>1832</v>
      </c>
      <c r="B497" s="155" t="s">
        <v>1833</v>
      </c>
      <c r="C497" s="166" t="s">
        <v>1834</v>
      </c>
      <c r="D497" s="193" t="str">
        <f t="shared" si="143"/>
        <v>石冠军410104198708250077</v>
      </c>
      <c r="E497" s="166" t="s">
        <v>1835</v>
      </c>
      <c r="F497" s="156"/>
      <c r="G497" s="239">
        <v>6</v>
      </c>
      <c r="H497" s="115">
        <v>1</v>
      </c>
      <c r="I497" s="115">
        <v>30</v>
      </c>
      <c r="J497" s="115">
        <v>3006</v>
      </c>
      <c r="K497" s="115">
        <v>86.33</v>
      </c>
      <c r="L497" s="115">
        <v>19460</v>
      </c>
      <c r="M497" s="115"/>
      <c r="N497" s="115"/>
      <c r="O497" s="431">
        <v>19500</v>
      </c>
      <c r="P497" s="445">
        <v>1683435</v>
      </c>
      <c r="Q497" s="445" t="s">
        <v>66</v>
      </c>
      <c r="R497" s="115">
        <v>433435</v>
      </c>
      <c r="S497" s="115"/>
      <c r="T497" s="445">
        <v>1250000</v>
      </c>
      <c r="U497" s="115"/>
      <c r="V497" s="115"/>
      <c r="W497" s="115">
        <v>5611</v>
      </c>
      <c r="X497" s="115">
        <v>80</v>
      </c>
      <c r="Y497" s="115"/>
      <c r="Z497" s="115"/>
      <c r="AA497" s="246"/>
      <c r="AB497" s="115">
        <v>1417</v>
      </c>
      <c r="AC497" s="83"/>
      <c r="AD497" s="83"/>
      <c r="AE497" s="83"/>
      <c r="AF497" s="467"/>
      <c r="AG497" s="294">
        <v>43280</v>
      </c>
      <c r="AH497" s="407">
        <f>R497+W497+X497</f>
        <v>439126</v>
      </c>
      <c r="AI497" s="132">
        <f t="shared" si="161"/>
        <v>440543</v>
      </c>
      <c r="AJ497" s="132">
        <f t="shared" si="164"/>
        <v>439126</v>
      </c>
      <c r="AK497" s="132">
        <f t="shared" si="162"/>
        <v>1417</v>
      </c>
      <c r="AL497" s="471"/>
      <c r="AM497" s="133" t="s">
        <v>900</v>
      </c>
      <c r="AN497" s="246">
        <v>44866</v>
      </c>
      <c r="AO497" s="288"/>
      <c r="AP497" s="422"/>
      <c r="AQ497" s="422"/>
      <c r="AR497" s="422"/>
    </row>
    <row r="498" s="202" customFormat="1" customHeight="1" spans="1:44">
      <c r="A498" s="115" t="s">
        <v>1836</v>
      </c>
      <c r="B498" s="107" t="s">
        <v>1837</v>
      </c>
      <c r="C498" s="406" t="s">
        <v>1838</v>
      </c>
      <c r="D498" s="193" t="str">
        <f t="shared" si="143"/>
        <v>黄红坡411325197902030421</v>
      </c>
      <c r="E498" s="155">
        <v>13333851370</v>
      </c>
      <c r="F498" s="115"/>
      <c r="G498" s="115">
        <v>3</v>
      </c>
      <c r="H498" s="115">
        <v>7</v>
      </c>
      <c r="I498" s="115"/>
      <c r="J498" s="115">
        <v>706</v>
      </c>
      <c r="K498" s="115">
        <v>61.66</v>
      </c>
      <c r="L498" s="115">
        <v>20000</v>
      </c>
      <c r="M498" s="115"/>
      <c r="N498" s="115"/>
      <c r="O498" s="431">
        <v>8994.33</v>
      </c>
      <c r="P498" s="445">
        <v>554590</v>
      </c>
      <c r="Q498" s="464" t="s">
        <v>66</v>
      </c>
      <c r="R498" s="484">
        <v>284590</v>
      </c>
      <c r="S498" s="484"/>
      <c r="T498" s="466" t="s">
        <v>47</v>
      </c>
      <c r="U498" s="466"/>
      <c r="V498" s="405">
        <v>270000</v>
      </c>
      <c r="W498" s="466">
        <v>4007</v>
      </c>
      <c r="X498" s="466">
        <v>550</v>
      </c>
      <c r="Y498" s="466"/>
      <c r="Z498" s="83" t="s">
        <v>48</v>
      </c>
      <c r="AA498" s="294"/>
      <c r="AB498" s="83">
        <f>230+1577</f>
        <v>1807</v>
      </c>
      <c r="AC498" s="83"/>
      <c r="AD498" s="83"/>
      <c r="AE498" s="83"/>
      <c r="AF498" s="467"/>
      <c r="AG498" s="294">
        <v>43319</v>
      </c>
      <c r="AH498" s="407">
        <f>R498+W498+X498</f>
        <v>289147</v>
      </c>
      <c r="AI498" s="132">
        <f t="shared" si="161"/>
        <v>560954</v>
      </c>
      <c r="AJ498" s="132">
        <f t="shared" si="164"/>
        <v>559147</v>
      </c>
      <c r="AK498" s="132">
        <f t="shared" si="162"/>
        <v>1807</v>
      </c>
      <c r="AL498" s="471"/>
      <c r="AM498" s="133" t="s">
        <v>900</v>
      </c>
      <c r="AN498" s="246">
        <v>44867</v>
      </c>
      <c r="AO498" s="288"/>
      <c r="AP498" s="422"/>
      <c r="AQ498" s="422"/>
      <c r="AR498" s="422"/>
    </row>
    <row r="499" s="202" customFormat="1" customHeight="1" spans="1:44">
      <c r="A499" s="115" t="s">
        <v>1839</v>
      </c>
      <c r="B499" s="107" t="s">
        <v>1840</v>
      </c>
      <c r="C499" s="406" t="s">
        <v>1841</v>
      </c>
      <c r="D499" s="193" t="str">
        <f t="shared" si="143"/>
        <v>蒋钊410105193809242715</v>
      </c>
      <c r="E499" s="166" t="s">
        <v>1842</v>
      </c>
      <c r="F499" s="156"/>
      <c r="G499" s="115">
        <v>3</v>
      </c>
      <c r="H499" s="115">
        <v>5</v>
      </c>
      <c r="I499" s="115"/>
      <c r="J499" s="115">
        <v>523</v>
      </c>
      <c r="K499" s="115">
        <v>58.49</v>
      </c>
      <c r="L499" s="115">
        <v>20000</v>
      </c>
      <c r="M499" s="115"/>
      <c r="N499" s="115"/>
      <c r="O499" s="431">
        <v>13049</v>
      </c>
      <c r="P499" s="445">
        <v>763236</v>
      </c>
      <c r="Q499" s="464" t="s">
        <v>56</v>
      </c>
      <c r="R499" s="465">
        <v>767236</v>
      </c>
      <c r="S499" s="465">
        <v>-4000</v>
      </c>
      <c r="T499" s="466" t="s">
        <v>47</v>
      </c>
      <c r="U499" s="466"/>
      <c r="V499" s="466"/>
      <c r="W499" s="466">
        <v>3801</v>
      </c>
      <c r="X499" s="466">
        <v>550</v>
      </c>
      <c r="Y499" s="466"/>
      <c r="Z499" s="83" t="s">
        <v>48</v>
      </c>
      <c r="AA499" s="294"/>
      <c r="AB499" s="83"/>
      <c r="AC499" s="83"/>
      <c r="AD499" s="83"/>
      <c r="AE499" s="83"/>
      <c r="AF499" s="467"/>
      <c r="AG499" s="294">
        <v>42856</v>
      </c>
      <c r="AH499" s="407">
        <f>R499+W499+X499+S499</f>
        <v>767587</v>
      </c>
      <c r="AI499" s="132">
        <f t="shared" ref="AI499:AI504" si="165">R499+V499+W499+X499+AA499+AB499+AC499+AD499</f>
        <v>771587</v>
      </c>
      <c r="AJ499" s="132">
        <f t="shared" ref="AJ499:AJ504" si="166">R499+W499+V499+X499+AA499</f>
        <v>771587</v>
      </c>
      <c r="AK499" s="132">
        <f t="shared" ref="AK499:AK504" si="167">AI499-AJ499</f>
        <v>0</v>
      </c>
      <c r="AL499" s="471" t="s">
        <v>1843</v>
      </c>
      <c r="AM499" s="133" t="s">
        <v>900</v>
      </c>
      <c r="AN499" s="246">
        <v>44867</v>
      </c>
      <c r="AO499" s="288"/>
      <c r="AP499" s="422"/>
      <c r="AQ499" s="422"/>
      <c r="AR499" s="422"/>
    </row>
    <row r="500" s="202" customFormat="1" customHeight="1" spans="1:44">
      <c r="A500" s="115" t="s">
        <v>1844</v>
      </c>
      <c r="B500" s="339" t="s">
        <v>1845</v>
      </c>
      <c r="C500" s="460" t="s">
        <v>1846</v>
      </c>
      <c r="D500" s="193" t="str">
        <f t="shared" si="143"/>
        <v>谢晓刚410105197909138438</v>
      </c>
      <c r="E500" s="107" t="s">
        <v>1847</v>
      </c>
      <c r="F500" s="194"/>
      <c r="G500" s="106">
        <v>11</v>
      </c>
      <c r="H500" s="106">
        <v>3</v>
      </c>
      <c r="I500" s="106">
        <v>21</v>
      </c>
      <c r="J500" s="106">
        <v>2101</v>
      </c>
      <c r="K500" s="106">
        <v>149.28</v>
      </c>
      <c r="L500" s="106">
        <v>8300</v>
      </c>
      <c r="M500" s="106"/>
      <c r="N500" s="106"/>
      <c r="O500" s="447">
        <v>8200</v>
      </c>
      <c r="P500" s="106">
        <v>1224096</v>
      </c>
      <c r="Q500" s="339" t="s">
        <v>56</v>
      </c>
      <c r="R500" s="487">
        <v>1224096</v>
      </c>
      <c r="S500" s="339"/>
      <c r="T500" s="339" t="s">
        <v>47</v>
      </c>
      <c r="U500" s="488"/>
      <c r="V500" s="339"/>
      <c r="W500" s="339">
        <v>9703</v>
      </c>
      <c r="X500" s="339">
        <v>80</v>
      </c>
      <c r="Y500" s="339"/>
      <c r="Z500" s="490" t="s">
        <v>48</v>
      </c>
      <c r="AA500" s="492"/>
      <c r="AB500" s="490"/>
      <c r="AC500" s="490"/>
      <c r="AD500" s="490"/>
      <c r="AE500" s="83"/>
      <c r="AF500" s="467"/>
      <c r="AG500" s="294">
        <v>42165</v>
      </c>
      <c r="AH500" s="407"/>
      <c r="AI500" s="132">
        <f t="shared" si="165"/>
        <v>1233879</v>
      </c>
      <c r="AJ500" s="132">
        <f t="shared" si="166"/>
        <v>1233879</v>
      </c>
      <c r="AK500" s="132">
        <f t="shared" si="167"/>
        <v>0</v>
      </c>
      <c r="AL500" s="471"/>
      <c r="AM500" s="133" t="s">
        <v>900</v>
      </c>
      <c r="AN500" s="246">
        <v>44867</v>
      </c>
      <c r="AO500" s="288"/>
      <c r="AP500" s="422"/>
      <c r="AQ500" s="422"/>
      <c r="AR500" s="422"/>
    </row>
    <row r="501" s="202" customFormat="1" customHeight="1" spans="1:44">
      <c r="A501" s="115" t="s">
        <v>1848</v>
      </c>
      <c r="B501" s="115" t="s">
        <v>1849</v>
      </c>
      <c r="C501" s="403" t="s">
        <v>1850</v>
      </c>
      <c r="D501" s="193" t="str">
        <f t="shared" si="143"/>
        <v>周沙410182198503020314</v>
      </c>
      <c r="E501" s="155">
        <v>15517184815</v>
      </c>
      <c r="F501" s="115" t="s">
        <v>1851</v>
      </c>
      <c r="G501" s="239">
        <v>9</v>
      </c>
      <c r="H501" s="115">
        <v>3</v>
      </c>
      <c r="I501" s="115">
        <v>22</v>
      </c>
      <c r="J501" s="115">
        <v>2203</v>
      </c>
      <c r="K501" s="115">
        <v>99.56</v>
      </c>
      <c r="L501" s="115">
        <v>8742</v>
      </c>
      <c r="M501" s="115"/>
      <c r="N501" s="115"/>
      <c r="O501" s="431">
        <v>8641.61</v>
      </c>
      <c r="P501" s="239">
        <v>860359</v>
      </c>
      <c r="Q501" s="464" t="s">
        <v>46</v>
      </c>
      <c r="R501" s="405">
        <v>270359</v>
      </c>
      <c r="S501" s="405"/>
      <c r="T501" s="464" t="s">
        <v>47</v>
      </c>
      <c r="U501" s="464"/>
      <c r="V501" s="83">
        <v>590000</v>
      </c>
      <c r="W501" s="83">
        <v>6471</v>
      </c>
      <c r="X501" s="83">
        <v>80</v>
      </c>
      <c r="Y501" s="83"/>
      <c r="Z501" s="83" t="s">
        <v>48</v>
      </c>
      <c r="AA501" s="294"/>
      <c r="AB501" s="83">
        <v>1000</v>
      </c>
      <c r="AC501" s="83"/>
      <c r="AD501" s="83"/>
      <c r="AE501" s="83"/>
      <c r="AF501" s="467"/>
      <c r="AG501" s="294">
        <v>44022</v>
      </c>
      <c r="AH501" s="407"/>
      <c r="AI501" s="132">
        <f t="shared" si="165"/>
        <v>867910</v>
      </c>
      <c r="AJ501" s="132">
        <f t="shared" si="166"/>
        <v>866910</v>
      </c>
      <c r="AK501" s="132">
        <f t="shared" si="167"/>
        <v>1000</v>
      </c>
      <c r="AL501" s="471"/>
      <c r="AM501" s="133" t="s">
        <v>900</v>
      </c>
      <c r="AN501" s="246">
        <v>44867</v>
      </c>
      <c r="AO501" s="288"/>
      <c r="AP501" s="422"/>
      <c r="AQ501" s="422"/>
      <c r="AR501" s="422"/>
    </row>
    <row r="502" s="202" customFormat="1" customHeight="1" spans="1:44">
      <c r="A502" s="115" t="s">
        <v>1852</v>
      </c>
      <c r="B502" s="404" t="s">
        <v>1853</v>
      </c>
      <c r="C502" s="406" t="s">
        <v>1854</v>
      </c>
      <c r="D502" s="193" t="str">
        <f t="shared" si="143"/>
        <v>朱秋萍410221197808010860</v>
      </c>
      <c r="E502" s="155">
        <v>13663859739</v>
      </c>
      <c r="F502" s="115"/>
      <c r="G502" s="115">
        <v>2</v>
      </c>
      <c r="H502" s="115">
        <v>13</v>
      </c>
      <c r="I502" s="115"/>
      <c r="J502" s="115">
        <v>1317</v>
      </c>
      <c r="K502" s="115">
        <v>50.16</v>
      </c>
      <c r="L502" s="239">
        <v>30000</v>
      </c>
      <c r="M502" s="239"/>
      <c r="N502" s="239"/>
      <c r="O502" s="431">
        <v>14635.71</v>
      </c>
      <c r="P502" s="239">
        <v>734127</v>
      </c>
      <c r="Q502" s="464" t="s">
        <v>56</v>
      </c>
      <c r="R502" s="83">
        <v>734127</v>
      </c>
      <c r="S502" s="83"/>
      <c r="T502" s="464">
        <v>0</v>
      </c>
      <c r="U502" s="83"/>
      <c r="V502" s="83"/>
      <c r="W502" s="401">
        <v>3260</v>
      </c>
      <c r="X502" s="83">
        <v>550</v>
      </c>
      <c r="Y502" s="83"/>
      <c r="Z502" s="83" t="s">
        <v>48</v>
      </c>
      <c r="AA502" s="294"/>
      <c r="AB502" s="83"/>
      <c r="AC502" s="83"/>
      <c r="AD502" s="83"/>
      <c r="AE502" s="83"/>
      <c r="AF502" s="467"/>
      <c r="AG502" s="294">
        <v>43300</v>
      </c>
      <c r="AH502" s="407">
        <f>X502+W502+R502</f>
        <v>737937</v>
      </c>
      <c r="AI502" s="132">
        <f t="shared" si="165"/>
        <v>737937</v>
      </c>
      <c r="AJ502" s="132">
        <f t="shared" si="166"/>
        <v>737937</v>
      </c>
      <c r="AK502" s="132">
        <f t="shared" si="167"/>
        <v>0</v>
      </c>
      <c r="AL502" s="471"/>
      <c r="AM502" s="133" t="s">
        <v>900</v>
      </c>
      <c r="AN502" s="246">
        <v>44867</v>
      </c>
      <c r="AO502" s="288"/>
      <c r="AP502" s="422"/>
      <c r="AQ502" s="422"/>
      <c r="AR502" s="422"/>
    </row>
    <row r="503" s="202" customFormat="1" customHeight="1" spans="1:44">
      <c r="A503" s="115" t="s">
        <v>1855</v>
      </c>
      <c r="B503" s="404" t="s">
        <v>1853</v>
      </c>
      <c r="C503" s="406" t="s">
        <v>1854</v>
      </c>
      <c r="D503" s="193" t="str">
        <f t="shared" si="143"/>
        <v>朱秋萍410221197808010860</v>
      </c>
      <c r="E503" s="155">
        <v>13663859739</v>
      </c>
      <c r="F503" s="115"/>
      <c r="G503" s="115">
        <v>2</v>
      </c>
      <c r="H503" s="115">
        <v>13</v>
      </c>
      <c r="I503" s="115"/>
      <c r="J503" s="115">
        <v>1318</v>
      </c>
      <c r="K503" s="115">
        <v>50.16</v>
      </c>
      <c r="L503" s="239">
        <v>30000</v>
      </c>
      <c r="M503" s="239"/>
      <c r="N503" s="239"/>
      <c r="O503" s="431">
        <v>14635.71</v>
      </c>
      <c r="P503" s="239">
        <v>734127</v>
      </c>
      <c r="Q503" s="464" t="s">
        <v>56</v>
      </c>
      <c r="R503" s="83">
        <v>734127</v>
      </c>
      <c r="S503" s="83"/>
      <c r="T503" s="464">
        <v>0</v>
      </c>
      <c r="U503" s="83"/>
      <c r="V503" s="83"/>
      <c r="W503" s="401">
        <v>3260</v>
      </c>
      <c r="X503" s="83">
        <v>550</v>
      </c>
      <c r="Y503" s="83"/>
      <c r="Z503" s="83" t="s">
        <v>48</v>
      </c>
      <c r="AA503" s="294"/>
      <c r="AB503" s="83"/>
      <c r="AC503" s="83"/>
      <c r="AD503" s="83"/>
      <c r="AE503" s="83"/>
      <c r="AF503" s="467"/>
      <c r="AG503" s="294">
        <v>43300</v>
      </c>
      <c r="AH503" s="407">
        <f>X503+W503+R503</f>
        <v>737937</v>
      </c>
      <c r="AI503" s="132">
        <f t="shared" ref="AI503:AI514" si="168">R503+V503+W503+X503+AA503+AB503+AC503+AD503</f>
        <v>737937</v>
      </c>
      <c r="AJ503" s="132">
        <f t="shared" ref="AJ503:AJ514" si="169">R503+W503+V503+X503+AA503</f>
        <v>737937</v>
      </c>
      <c r="AK503" s="132">
        <f t="shared" ref="AK503:AK514" si="170">AI503-AJ503</f>
        <v>0</v>
      </c>
      <c r="AL503" s="471"/>
      <c r="AM503" s="133" t="s">
        <v>900</v>
      </c>
      <c r="AN503" s="246">
        <v>44867</v>
      </c>
      <c r="AO503" s="288"/>
      <c r="AP503" s="422"/>
      <c r="AQ503" s="422"/>
      <c r="AR503" s="422"/>
    </row>
    <row r="504" s="202" customFormat="1" customHeight="1" spans="1:44">
      <c r="A504" s="115" t="s">
        <v>1856</v>
      </c>
      <c r="B504" s="404" t="s">
        <v>1857</v>
      </c>
      <c r="C504" s="406" t="s">
        <v>1858</v>
      </c>
      <c r="D504" s="193" t="str">
        <f t="shared" si="143"/>
        <v>朱登魁410221197607020819</v>
      </c>
      <c r="E504" s="155">
        <v>13663859739</v>
      </c>
      <c r="F504" s="115"/>
      <c r="G504" s="115">
        <v>2</v>
      </c>
      <c r="H504" s="115">
        <v>13</v>
      </c>
      <c r="I504" s="115"/>
      <c r="J504" s="115">
        <v>1316</v>
      </c>
      <c r="K504" s="115">
        <v>50.16</v>
      </c>
      <c r="L504" s="239">
        <v>30000</v>
      </c>
      <c r="M504" s="239"/>
      <c r="N504" s="239"/>
      <c r="O504" s="431">
        <v>14635.71</v>
      </c>
      <c r="P504" s="239">
        <v>734127</v>
      </c>
      <c r="Q504" s="464" t="s">
        <v>56</v>
      </c>
      <c r="R504" s="83">
        <v>734127</v>
      </c>
      <c r="S504" s="83"/>
      <c r="T504" s="464">
        <v>0</v>
      </c>
      <c r="U504" s="83"/>
      <c r="V504" s="83"/>
      <c r="W504" s="401">
        <v>3260</v>
      </c>
      <c r="X504" s="83">
        <v>550</v>
      </c>
      <c r="Y504" s="83"/>
      <c r="Z504" s="83" t="s">
        <v>48</v>
      </c>
      <c r="AA504" s="294"/>
      <c r="AB504" s="83"/>
      <c r="AC504" s="83"/>
      <c r="AD504" s="83"/>
      <c r="AE504" s="83"/>
      <c r="AF504" s="467"/>
      <c r="AG504" s="294">
        <v>43300</v>
      </c>
      <c r="AH504" s="407">
        <f>X504+W504+R504</f>
        <v>737937</v>
      </c>
      <c r="AI504" s="132">
        <f t="shared" si="168"/>
        <v>737937</v>
      </c>
      <c r="AJ504" s="132">
        <f t="shared" si="169"/>
        <v>737937</v>
      </c>
      <c r="AK504" s="132">
        <f t="shared" si="170"/>
        <v>0</v>
      </c>
      <c r="AL504" s="471"/>
      <c r="AM504" s="133" t="s">
        <v>900</v>
      </c>
      <c r="AN504" s="246">
        <v>44867</v>
      </c>
      <c r="AO504" s="288"/>
      <c r="AP504" s="422"/>
      <c r="AQ504" s="422"/>
      <c r="AR504" s="422"/>
    </row>
    <row r="505" s="96" customFormat="1" customHeight="1" spans="1:44">
      <c r="A505" s="115" t="s">
        <v>1859</v>
      </c>
      <c r="B505" s="155" t="s">
        <v>1860</v>
      </c>
      <c r="C505" s="406" t="s">
        <v>1861</v>
      </c>
      <c r="D505" s="193" t="str">
        <f t="shared" si="143"/>
        <v>朱之春410103199103210011</v>
      </c>
      <c r="E505" s="107">
        <v>13673350698</v>
      </c>
      <c r="F505" s="156"/>
      <c r="G505" s="239">
        <v>6</v>
      </c>
      <c r="H505" s="115">
        <v>2</v>
      </c>
      <c r="I505" s="115">
        <v>14</v>
      </c>
      <c r="J505" s="115">
        <v>1401</v>
      </c>
      <c r="K505" s="115">
        <v>109.13</v>
      </c>
      <c r="L505" s="115">
        <v>19980</v>
      </c>
      <c r="M505" s="115"/>
      <c r="N505" s="115"/>
      <c r="O505" s="431">
        <v>19905.47</v>
      </c>
      <c r="P505" s="445">
        <v>2172284</v>
      </c>
      <c r="Q505" s="464" t="s">
        <v>66</v>
      </c>
      <c r="R505" s="83">
        <v>652284</v>
      </c>
      <c r="S505" s="83"/>
      <c r="T505" s="464">
        <v>1520000</v>
      </c>
      <c r="U505" s="83"/>
      <c r="V505" s="83"/>
      <c r="W505" s="83">
        <v>7093</v>
      </c>
      <c r="X505" s="83">
        <v>80</v>
      </c>
      <c r="Y505" s="83"/>
      <c r="Z505" s="83"/>
      <c r="AA505" s="294"/>
      <c r="AB505" s="83">
        <v>1372</v>
      </c>
      <c r="AC505" s="83"/>
      <c r="AD505" s="83"/>
      <c r="AE505" s="83"/>
      <c r="AF505" s="467"/>
      <c r="AG505" s="294">
        <v>43280</v>
      </c>
      <c r="AH505" s="407">
        <f>442284+105000+W505+X505</f>
        <v>554457</v>
      </c>
      <c r="AI505" s="132">
        <f t="shared" si="168"/>
        <v>660829</v>
      </c>
      <c r="AJ505" s="132">
        <f t="shared" si="169"/>
        <v>659457</v>
      </c>
      <c r="AK505" s="132">
        <f t="shared" si="170"/>
        <v>1372</v>
      </c>
      <c r="AL505" s="471"/>
      <c r="AM505" s="133" t="s">
        <v>900</v>
      </c>
      <c r="AN505" s="246">
        <v>44867</v>
      </c>
      <c r="AO505" s="288"/>
      <c r="AP505" s="422"/>
      <c r="AQ505" s="422"/>
      <c r="AR505" s="422"/>
    </row>
    <row r="506" s="202" customFormat="1" customHeight="1" spans="1:44">
      <c r="A506" s="115" t="s">
        <v>1862</v>
      </c>
      <c r="B506" s="107" t="s">
        <v>1863</v>
      </c>
      <c r="C506" s="406" t="s">
        <v>1864</v>
      </c>
      <c r="D506" s="193" t="str">
        <f t="shared" si="143"/>
        <v>华明锐413022197402020565</v>
      </c>
      <c r="E506" s="166" t="s">
        <v>1865</v>
      </c>
      <c r="F506" s="156" t="s">
        <v>1866</v>
      </c>
      <c r="G506" s="115">
        <v>3</v>
      </c>
      <c r="H506" s="115">
        <v>7</v>
      </c>
      <c r="I506" s="115"/>
      <c r="J506" s="115">
        <v>735</v>
      </c>
      <c r="K506" s="115">
        <v>55.18</v>
      </c>
      <c r="L506" s="115">
        <v>20000</v>
      </c>
      <c r="M506" s="115"/>
      <c r="N506" s="115"/>
      <c r="O506" s="431">
        <v>14229.47</v>
      </c>
      <c r="P506" s="445">
        <v>785182</v>
      </c>
      <c r="Q506" s="464" t="s">
        <v>56</v>
      </c>
      <c r="R506" s="465">
        <v>785182</v>
      </c>
      <c r="S506" s="465"/>
      <c r="T506" s="466" t="s">
        <v>47</v>
      </c>
      <c r="U506" s="466"/>
      <c r="V506" s="466"/>
      <c r="W506" s="466">
        <v>3586</v>
      </c>
      <c r="X506" s="466">
        <v>550</v>
      </c>
      <c r="Y506" s="466"/>
      <c r="Z506" s="83" t="s">
        <v>48</v>
      </c>
      <c r="AA506" s="294"/>
      <c r="AB506" s="83"/>
      <c r="AC506" s="83"/>
      <c r="AD506" s="83"/>
      <c r="AE506" s="83"/>
      <c r="AF506" s="467"/>
      <c r="AG506" s="294">
        <v>43399</v>
      </c>
      <c r="AH506" s="407"/>
      <c r="AI506" s="132">
        <f t="shared" si="168"/>
        <v>789318</v>
      </c>
      <c r="AJ506" s="132">
        <f t="shared" si="169"/>
        <v>789318</v>
      </c>
      <c r="AK506" s="132">
        <f t="shared" si="170"/>
        <v>0</v>
      </c>
      <c r="AL506" s="471"/>
      <c r="AM506" s="133" t="s">
        <v>900</v>
      </c>
      <c r="AN506" s="246">
        <v>44867</v>
      </c>
      <c r="AO506" s="288"/>
      <c r="AP506" s="422"/>
      <c r="AQ506" s="422"/>
      <c r="AR506" s="422"/>
    </row>
    <row r="507" s="202" customFormat="1" customHeight="1" spans="1:44">
      <c r="A507" s="115" t="s">
        <v>1867</v>
      </c>
      <c r="B507" s="115" t="s">
        <v>1868</v>
      </c>
      <c r="C507" s="403" t="s">
        <v>1869</v>
      </c>
      <c r="D507" s="193" t="str">
        <f t="shared" si="143"/>
        <v>陈华坤41010419811115455X</v>
      </c>
      <c r="E507" s="155" t="s">
        <v>1870</v>
      </c>
      <c r="F507" s="115">
        <v>13007517000</v>
      </c>
      <c r="G507" s="239">
        <v>9</v>
      </c>
      <c r="H507" s="115">
        <v>3</v>
      </c>
      <c r="I507" s="115">
        <v>8</v>
      </c>
      <c r="J507" s="115">
        <v>801</v>
      </c>
      <c r="K507" s="115">
        <v>93.4</v>
      </c>
      <c r="L507" s="115">
        <v>8694</v>
      </c>
      <c r="M507" s="115"/>
      <c r="N507" s="115"/>
      <c r="O507" s="431">
        <v>8593.6</v>
      </c>
      <c r="P507" s="239">
        <v>802642</v>
      </c>
      <c r="Q507" s="464" t="s">
        <v>56</v>
      </c>
      <c r="R507" s="464">
        <v>802642</v>
      </c>
      <c r="S507" s="464"/>
      <c r="T507" s="464" t="s">
        <v>47</v>
      </c>
      <c r="U507" s="464"/>
      <c r="V507" s="83"/>
      <c r="W507" s="83">
        <v>6071</v>
      </c>
      <c r="X507" s="83">
        <v>80</v>
      </c>
      <c r="Y507" s="83"/>
      <c r="Z507" s="83" t="s">
        <v>48</v>
      </c>
      <c r="AA507" s="294"/>
      <c r="AB507" s="83"/>
      <c r="AC507" s="83"/>
      <c r="AD507" s="83"/>
      <c r="AE507" s="83"/>
      <c r="AF507" s="467"/>
      <c r="AG507" s="294">
        <v>43326</v>
      </c>
      <c r="AH507" s="407">
        <f>R507+W507+X507</f>
        <v>808793</v>
      </c>
      <c r="AI507" s="132">
        <f t="shared" si="168"/>
        <v>808793</v>
      </c>
      <c r="AJ507" s="132">
        <f t="shared" si="169"/>
        <v>808793</v>
      </c>
      <c r="AK507" s="132">
        <f t="shared" si="170"/>
        <v>0</v>
      </c>
      <c r="AL507" s="471"/>
      <c r="AM507" s="133" t="s">
        <v>900</v>
      </c>
      <c r="AN507" s="246">
        <v>44867</v>
      </c>
      <c r="AO507" s="288"/>
      <c r="AP507" s="422"/>
      <c r="AQ507" s="422"/>
      <c r="AR507" s="422"/>
    </row>
    <row r="508" s="202" customFormat="1" customHeight="1" spans="1:44">
      <c r="A508" s="115" t="s">
        <v>1871</v>
      </c>
      <c r="B508" s="115" t="s">
        <v>1872</v>
      </c>
      <c r="C508" s="403" t="s">
        <v>1873</v>
      </c>
      <c r="D508" s="193" t="str">
        <f t="shared" si="143"/>
        <v>王囝囝412821198503074416</v>
      </c>
      <c r="E508" s="155" t="s">
        <v>1874</v>
      </c>
      <c r="F508" s="115"/>
      <c r="G508" s="239">
        <v>9</v>
      </c>
      <c r="H508" s="115">
        <v>3</v>
      </c>
      <c r="I508" s="115">
        <v>5</v>
      </c>
      <c r="J508" s="115">
        <v>503</v>
      </c>
      <c r="K508" s="115">
        <v>98.96</v>
      </c>
      <c r="L508" s="115">
        <v>10732</v>
      </c>
      <c r="M508" s="115"/>
      <c r="N508" s="115"/>
      <c r="O508" s="431">
        <v>8505.6</v>
      </c>
      <c r="P508" s="239">
        <v>841714</v>
      </c>
      <c r="Q508" s="464" t="s">
        <v>46</v>
      </c>
      <c r="R508" s="405">
        <v>441714</v>
      </c>
      <c r="S508" s="405"/>
      <c r="T508" s="464" t="s">
        <v>47</v>
      </c>
      <c r="U508" s="464"/>
      <c r="V508" s="464">
        <v>400000</v>
      </c>
      <c r="W508" s="83">
        <v>6432</v>
      </c>
      <c r="X508" s="83">
        <v>80</v>
      </c>
      <c r="Y508" s="83"/>
      <c r="Z508" s="83" t="s">
        <v>48</v>
      </c>
      <c r="AA508" s="294"/>
      <c r="AB508" s="83">
        <v>1160</v>
      </c>
      <c r="AC508" s="493">
        <v>52859</v>
      </c>
      <c r="AD508" s="493"/>
      <c r="AE508" s="83"/>
      <c r="AF508" s="467"/>
      <c r="AG508" s="294">
        <v>43092</v>
      </c>
      <c r="AH508" s="407">
        <f>W508+X508</f>
        <v>6512</v>
      </c>
      <c r="AI508" s="132">
        <f t="shared" si="168"/>
        <v>902245</v>
      </c>
      <c r="AJ508" s="132">
        <f t="shared" si="169"/>
        <v>848226</v>
      </c>
      <c r="AK508" s="132">
        <f t="shared" si="170"/>
        <v>54019</v>
      </c>
      <c r="AL508" s="471" t="s">
        <v>1875</v>
      </c>
      <c r="AM508" s="133" t="s">
        <v>900</v>
      </c>
      <c r="AN508" s="246">
        <v>44867</v>
      </c>
      <c r="AO508" s="288"/>
      <c r="AP508" s="422"/>
      <c r="AQ508" s="422"/>
      <c r="AR508" s="422"/>
    </row>
    <row r="509" s="202" customFormat="1" customHeight="1" spans="1:44">
      <c r="A509" s="115" t="s">
        <v>1876</v>
      </c>
      <c r="B509" s="115" t="s">
        <v>1877</v>
      </c>
      <c r="C509" s="403" t="s">
        <v>1878</v>
      </c>
      <c r="D509" s="193" t="str">
        <f t="shared" si="143"/>
        <v>赵梦辉410182198402170313</v>
      </c>
      <c r="E509" s="155">
        <v>13633839791</v>
      </c>
      <c r="F509" s="115"/>
      <c r="G509" s="239">
        <v>9</v>
      </c>
      <c r="H509" s="115">
        <v>3</v>
      </c>
      <c r="I509" s="115">
        <v>6</v>
      </c>
      <c r="J509" s="115">
        <v>603</v>
      </c>
      <c r="K509" s="115">
        <v>99.56</v>
      </c>
      <c r="L509" s="115">
        <v>8614</v>
      </c>
      <c r="M509" s="115"/>
      <c r="N509" s="115"/>
      <c r="O509" s="431">
        <v>8513.6</v>
      </c>
      <c r="P509" s="239">
        <v>847614</v>
      </c>
      <c r="Q509" s="464" t="s">
        <v>46</v>
      </c>
      <c r="R509" s="405">
        <v>263614</v>
      </c>
      <c r="S509" s="405"/>
      <c r="T509" s="464" t="s">
        <v>47</v>
      </c>
      <c r="U509" s="464"/>
      <c r="V509" s="464">
        <v>584000</v>
      </c>
      <c r="W509" s="83">
        <v>6471</v>
      </c>
      <c r="X509" s="83">
        <v>80</v>
      </c>
      <c r="Y509" s="83"/>
      <c r="Z509" s="83" t="s">
        <v>48</v>
      </c>
      <c r="AA509" s="294"/>
      <c r="AB509" s="83">
        <f>1213.8-80</f>
        <v>1133.8</v>
      </c>
      <c r="AC509" s="83"/>
      <c r="AD509" s="83"/>
      <c r="AE509" s="83"/>
      <c r="AF509" s="467"/>
      <c r="AG509" s="294">
        <v>44018</v>
      </c>
      <c r="AH509" s="407"/>
      <c r="AI509" s="132">
        <f t="shared" si="168"/>
        <v>855298.8</v>
      </c>
      <c r="AJ509" s="132">
        <f t="shared" si="169"/>
        <v>854165</v>
      </c>
      <c r="AK509" s="132">
        <f t="shared" si="170"/>
        <v>1133.80000000005</v>
      </c>
      <c r="AL509" s="471"/>
      <c r="AM509" s="133" t="s">
        <v>900</v>
      </c>
      <c r="AN509" s="246">
        <v>44867</v>
      </c>
      <c r="AO509" s="288"/>
      <c r="AP509" s="422"/>
      <c r="AQ509" s="422"/>
      <c r="AR509" s="422"/>
    </row>
    <row r="510" s="202" customFormat="1" customHeight="1" spans="1:44">
      <c r="A510" s="115" t="s">
        <v>1879</v>
      </c>
      <c r="B510" s="115" t="s">
        <v>1880</v>
      </c>
      <c r="C510" s="83" t="s">
        <v>1881</v>
      </c>
      <c r="D510" s="193" t="str">
        <f t="shared" si="143"/>
        <v>陈晓霞410105197203313329</v>
      </c>
      <c r="E510" s="155">
        <v>13213151172</v>
      </c>
      <c r="F510" s="115"/>
      <c r="G510" s="115">
        <v>10</v>
      </c>
      <c r="H510" s="115">
        <v>2</v>
      </c>
      <c r="I510" s="115">
        <v>16</v>
      </c>
      <c r="J510" s="115">
        <v>1606</v>
      </c>
      <c r="K510" s="115">
        <v>99.52</v>
      </c>
      <c r="L510" s="115">
        <v>8570</v>
      </c>
      <c r="M510" s="115"/>
      <c r="N510" s="115"/>
      <c r="O510" s="431">
        <v>8470</v>
      </c>
      <c r="P510" s="239">
        <v>842934</v>
      </c>
      <c r="Q510" s="464" t="s">
        <v>46</v>
      </c>
      <c r="R510" s="83">
        <v>257934</v>
      </c>
      <c r="S510" s="83"/>
      <c r="T510" s="464" t="s">
        <v>47</v>
      </c>
      <c r="U510" s="401"/>
      <c r="V510" s="83">
        <v>585000</v>
      </c>
      <c r="W510" s="83">
        <v>6468</v>
      </c>
      <c r="X510" s="83">
        <v>80</v>
      </c>
      <c r="Y510" s="83"/>
      <c r="Z510" s="83" t="s">
        <v>48</v>
      </c>
      <c r="AA510" s="294"/>
      <c r="AB510" s="83"/>
      <c r="AC510" s="83"/>
      <c r="AD510" s="83"/>
      <c r="AE510" s="83"/>
      <c r="AF510" s="467"/>
      <c r="AG510" s="294">
        <v>43648</v>
      </c>
      <c r="AH510" s="407">
        <f>R510+W510+X510</f>
        <v>264482</v>
      </c>
      <c r="AI510" s="132">
        <f t="shared" si="168"/>
        <v>849482</v>
      </c>
      <c r="AJ510" s="132">
        <f t="shared" si="169"/>
        <v>849482</v>
      </c>
      <c r="AK510" s="132">
        <f t="shared" si="170"/>
        <v>0</v>
      </c>
      <c r="AL510" s="471"/>
      <c r="AM510" s="133" t="s">
        <v>900</v>
      </c>
      <c r="AN510" s="246">
        <v>44867</v>
      </c>
      <c r="AO510" s="288"/>
      <c r="AP510" s="422"/>
      <c r="AQ510" s="422"/>
      <c r="AR510" s="422"/>
    </row>
    <row r="511" s="202" customFormat="1" customHeight="1" spans="1:44">
      <c r="A511" s="115" t="s">
        <v>1882</v>
      </c>
      <c r="B511" s="106" t="s">
        <v>1883</v>
      </c>
      <c r="C511" s="483" t="s">
        <v>1884</v>
      </c>
      <c r="D511" s="193" t="str">
        <f t="shared" si="143"/>
        <v>潘耀宗410381198311227390</v>
      </c>
      <c r="E511" s="107">
        <v>18603868111</v>
      </c>
      <c r="F511" s="106"/>
      <c r="G511" s="109">
        <v>9</v>
      </c>
      <c r="H511" s="106">
        <v>3</v>
      </c>
      <c r="I511" s="106">
        <v>31</v>
      </c>
      <c r="J511" s="106">
        <v>3104</v>
      </c>
      <c r="K511" s="106">
        <v>94.65</v>
      </c>
      <c r="L511" s="106">
        <v>11022</v>
      </c>
      <c r="M511" s="106"/>
      <c r="N511" s="106"/>
      <c r="O511" s="455">
        <v>10922</v>
      </c>
      <c r="P511" s="110">
        <v>1033767.48854582</v>
      </c>
      <c r="Q511" s="486" t="s">
        <v>66</v>
      </c>
      <c r="R511" s="486">
        <v>150000</v>
      </c>
      <c r="S511" s="486"/>
      <c r="T511" s="486">
        <v>883767.488545819</v>
      </c>
      <c r="U511" s="486"/>
      <c r="V511" s="468"/>
      <c r="W511" s="468"/>
      <c r="X511" s="468"/>
      <c r="Y511" s="468"/>
      <c r="Z511" s="468"/>
      <c r="AA511" s="474"/>
      <c r="AB511" s="468"/>
      <c r="AC511" s="83"/>
      <c r="AD511" s="83"/>
      <c r="AE511" s="83"/>
      <c r="AF511" s="467"/>
      <c r="AG511" s="294">
        <v>42036</v>
      </c>
      <c r="AH511" s="407">
        <f>R511</f>
        <v>150000</v>
      </c>
      <c r="AI511" s="132">
        <f t="shared" si="168"/>
        <v>150000</v>
      </c>
      <c r="AJ511" s="132">
        <f t="shared" si="169"/>
        <v>150000</v>
      </c>
      <c r="AK511" s="132">
        <f t="shared" si="170"/>
        <v>0</v>
      </c>
      <c r="AL511" s="451" t="s">
        <v>1885</v>
      </c>
      <c r="AM511" s="133" t="s">
        <v>900</v>
      </c>
      <c r="AN511" s="246">
        <v>44867</v>
      </c>
      <c r="AO511" s="288"/>
      <c r="AP511" s="422"/>
      <c r="AQ511" s="422"/>
      <c r="AR511" s="422"/>
    </row>
    <row r="512" s="202" customFormat="1" customHeight="1" spans="1:44">
      <c r="A512" s="115" t="s">
        <v>1886</v>
      </c>
      <c r="B512" s="106" t="s">
        <v>1887</v>
      </c>
      <c r="C512" s="444" t="s">
        <v>1888</v>
      </c>
      <c r="D512" s="193" t="str">
        <f t="shared" si="143"/>
        <v>吴佳康41052619980609907X</v>
      </c>
      <c r="E512" s="444" t="s">
        <v>1889</v>
      </c>
      <c r="F512" s="119" t="s">
        <v>1890</v>
      </c>
      <c r="G512" s="106">
        <v>11</v>
      </c>
      <c r="H512" s="106">
        <v>3</v>
      </c>
      <c r="I512" s="106">
        <v>26</v>
      </c>
      <c r="J512" s="106">
        <v>2603</v>
      </c>
      <c r="K512" s="106">
        <v>151.44</v>
      </c>
      <c r="L512" s="106">
        <v>17900</v>
      </c>
      <c r="M512" s="106"/>
      <c r="N512" s="106"/>
      <c r="O512" s="447">
        <v>19000</v>
      </c>
      <c r="P512" s="106">
        <v>2877360</v>
      </c>
      <c r="Q512" s="106" t="s">
        <v>56</v>
      </c>
      <c r="R512" s="110">
        <v>2877360</v>
      </c>
      <c r="S512" s="339"/>
      <c r="T512" s="339" t="s">
        <v>47</v>
      </c>
      <c r="U512" s="181"/>
      <c r="V512" s="106"/>
      <c r="W512" s="106">
        <v>9845</v>
      </c>
      <c r="X512" s="106">
        <v>80</v>
      </c>
      <c r="Y512" s="106"/>
      <c r="Z512" s="115" t="s">
        <v>48</v>
      </c>
      <c r="AA512" s="246"/>
      <c r="AB512" s="115"/>
      <c r="AC512" s="115"/>
      <c r="AD512" s="115"/>
      <c r="AE512" s="83"/>
      <c r="AF512" s="467"/>
      <c r="AG512" s="294">
        <v>43971</v>
      </c>
      <c r="AH512" s="407">
        <f>R512</f>
        <v>2877360</v>
      </c>
      <c r="AI512" s="132">
        <f t="shared" si="168"/>
        <v>2887285</v>
      </c>
      <c r="AJ512" s="132">
        <f t="shared" si="169"/>
        <v>2887285</v>
      </c>
      <c r="AK512" s="132">
        <f t="shared" si="170"/>
        <v>0</v>
      </c>
      <c r="AL512" s="471"/>
      <c r="AM512" s="133" t="s">
        <v>900</v>
      </c>
      <c r="AN512" s="246">
        <v>44867</v>
      </c>
      <c r="AO512" s="288"/>
      <c r="AP512" s="422"/>
      <c r="AQ512" s="422"/>
      <c r="AR512" s="422"/>
    </row>
    <row r="513" s="202" customFormat="1" customHeight="1" spans="1:44">
      <c r="A513" s="115" t="s">
        <v>1891</v>
      </c>
      <c r="B513" s="115" t="s">
        <v>1892</v>
      </c>
      <c r="C513" s="403" t="s">
        <v>1893</v>
      </c>
      <c r="D513" s="193" t="str">
        <f t="shared" si="143"/>
        <v>蒋伟410126197504145711</v>
      </c>
      <c r="E513" s="155" t="s">
        <v>1894</v>
      </c>
      <c r="F513" s="115"/>
      <c r="G513" s="115">
        <v>10</v>
      </c>
      <c r="H513" s="115">
        <v>2</v>
      </c>
      <c r="I513" s="115">
        <v>32</v>
      </c>
      <c r="J513" s="115">
        <v>3208</v>
      </c>
      <c r="K513" s="115">
        <v>94.61</v>
      </c>
      <c r="L513" s="115">
        <v>19950</v>
      </c>
      <c r="M513" s="115"/>
      <c r="N513" s="115"/>
      <c r="O513" s="431">
        <v>19501.11</v>
      </c>
      <c r="P513" s="239">
        <v>1845000</v>
      </c>
      <c r="Q513" s="464" t="s">
        <v>66</v>
      </c>
      <c r="R513" s="83">
        <v>555000</v>
      </c>
      <c r="S513" s="83"/>
      <c r="T513" s="83">
        <v>1290000</v>
      </c>
      <c r="U513" s="401"/>
      <c r="V513" s="83"/>
      <c r="W513" s="83">
        <v>6149</v>
      </c>
      <c r="X513" s="83">
        <v>80</v>
      </c>
      <c r="Y513" s="83"/>
      <c r="Z513" s="83"/>
      <c r="AA513" s="294"/>
      <c r="AB513" s="83"/>
      <c r="AC513" s="83"/>
      <c r="AD513" s="83"/>
      <c r="AE513" s="83"/>
      <c r="AF513" s="467"/>
      <c r="AG513" s="294">
        <v>43332</v>
      </c>
      <c r="AH513" s="407">
        <f>R513+W513+X513</f>
        <v>561229</v>
      </c>
      <c r="AI513" s="132">
        <f t="shared" si="168"/>
        <v>561229</v>
      </c>
      <c r="AJ513" s="132">
        <f t="shared" si="169"/>
        <v>561229</v>
      </c>
      <c r="AK513" s="132">
        <f t="shared" si="170"/>
        <v>0</v>
      </c>
      <c r="AL513" s="471"/>
      <c r="AM513" s="133" t="s">
        <v>900</v>
      </c>
      <c r="AN513" s="246">
        <v>44867</v>
      </c>
      <c r="AO513" s="288"/>
      <c r="AP513" s="422"/>
      <c r="AQ513" s="422"/>
      <c r="AR513" s="422"/>
    </row>
    <row r="514" s="420" customFormat="1" customHeight="1" spans="1:44">
      <c r="A514" s="115" t="s">
        <v>1895</v>
      </c>
      <c r="B514" s="404" t="s">
        <v>1896</v>
      </c>
      <c r="C514" s="406" t="s">
        <v>1897</v>
      </c>
      <c r="D514" s="193" t="str">
        <f t="shared" si="143"/>
        <v>冯爽41010319840730002x</v>
      </c>
      <c r="E514" s="155" t="s">
        <v>1898</v>
      </c>
      <c r="F514" s="115" t="s">
        <v>1899</v>
      </c>
      <c r="G514" s="115">
        <v>2</v>
      </c>
      <c r="H514" s="115">
        <v>11</v>
      </c>
      <c r="I514" s="115"/>
      <c r="J514" s="115">
        <v>1103</v>
      </c>
      <c r="K514" s="115">
        <v>41.69</v>
      </c>
      <c r="L514" s="239">
        <v>30000</v>
      </c>
      <c r="M514" s="239"/>
      <c r="N514" s="239"/>
      <c r="O514" s="431">
        <v>14583.83</v>
      </c>
      <c r="P514" s="239">
        <v>608000</v>
      </c>
      <c r="Q514" s="464" t="s">
        <v>56</v>
      </c>
      <c r="R514" s="83">
        <v>608000</v>
      </c>
      <c r="S514" s="83"/>
      <c r="T514" s="464">
        <v>0</v>
      </c>
      <c r="U514" s="83"/>
      <c r="V514" s="83"/>
      <c r="W514" s="401">
        <v>2709</v>
      </c>
      <c r="X514" s="83">
        <v>550</v>
      </c>
      <c r="Y514" s="83"/>
      <c r="Z514" s="83" t="s">
        <v>48</v>
      </c>
      <c r="AA514" s="294"/>
      <c r="AB514" s="83"/>
      <c r="AC514" s="83"/>
      <c r="AD514" s="83"/>
      <c r="AE514" s="83"/>
      <c r="AF514" s="467"/>
      <c r="AG514" s="294">
        <v>43286</v>
      </c>
      <c r="AH514" s="407">
        <f>R514+W514+X514</f>
        <v>611259</v>
      </c>
      <c r="AI514" s="132">
        <f t="shared" si="168"/>
        <v>611259</v>
      </c>
      <c r="AJ514" s="132">
        <f t="shared" si="169"/>
        <v>611259</v>
      </c>
      <c r="AK514" s="132">
        <f t="shared" si="170"/>
        <v>0</v>
      </c>
      <c r="AL514" s="471"/>
      <c r="AM514" s="133" t="s">
        <v>900</v>
      </c>
      <c r="AN514" s="246">
        <v>44867</v>
      </c>
      <c r="AO514" s="288"/>
      <c r="AP514" s="422"/>
      <c r="AQ514" s="422"/>
      <c r="AR514" s="422"/>
    </row>
    <row r="515" s="202" customFormat="1" customHeight="1" spans="1:44">
      <c r="A515" s="115" t="s">
        <v>1900</v>
      </c>
      <c r="B515" s="115" t="s">
        <v>1901</v>
      </c>
      <c r="C515" s="83" t="s">
        <v>1902</v>
      </c>
      <c r="D515" s="193" t="str">
        <f t="shared" ref="D515:D578" si="171">B515&amp;C515</f>
        <v>贾艳琴410104195212151047</v>
      </c>
      <c r="E515" s="155" t="s">
        <v>1903</v>
      </c>
      <c r="F515" s="115"/>
      <c r="G515" s="115">
        <v>10</v>
      </c>
      <c r="H515" s="115">
        <v>2</v>
      </c>
      <c r="I515" s="115">
        <v>18</v>
      </c>
      <c r="J515" s="115">
        <v>1805</v>
      </c>
      <c r="K515" s="115">
        <v>93.84</v>
      </c>
      <c r="L515" s="115">
        <v>17900</v>
      </c>
      <c r="M515" s="115"/>
      <c r="N515" s="115"/>
      <c r="O515" s="431">
        <v>13800</v>
      </c>
      <c r="P515" s="239">
        <v>1294992</v>
      </c>
      <c r="Q515" s="464" t="s">
        <v>56</v>
      </c>
      <c r="R515" s="83">
        <v>1294992</v>
      </c>
      <c r="S515" s="83"/>
      <c r="T515" s="464" t="s">
        <v>47</v>
      </c>
      <c r="U515" s="401"/>
      <c r="V515" s="83"/>
      <c r="W515" s="83">
        <v>6099</v>
      </c>
      <c r="X515" s="83">
        <v>80</v>
      </c>
      <c r="Y515" s="83"/>
      <c r="Z515" s="83" t="s">
        <v>48</v>
      </c>
      <c r="AA515" s="294"/>
      <c r="AB515" s="83"/>
      <c r="AC515" s="83"/>
      <c r="AD515" s="83"/>
      <c r="AE515" s="83"/>
      <c r="AF515" s="467"/>
      <c r="AG515" s="294">
        <v>42720</v>
      </c>
      <c r="AH515" s="407"/>
      <c r="AI515" s="132">
        <f t="shared" ref="AI515:AI523" si="172">R515+V515+W515+X515+AA515+AB515+AC515+AD515</f>
        <v>1301171</v>
      </c>
      <c r="AJ515" s="132">
        <f t="shared" ref="AJ515:AJ523" si="173">R515+W515+V515+X515+AA515</f>
        <v>1301171</v>
      </c>
      <c r="AK515" s="132">
        <f t="shared" ref="AK515:AK523" si="174">AI515-AJ515</f>
        <v>0</v>
      </c>
      <c r="AL515" s="451" t="s">
        <v>1904</v>
      </c>
      <c r="AM515" s="133" t="s">
        <v>900</v>
      </c>
      <c r="AN515" s="246">
        <v>44867</v>
      </c>
      <c r="AO515" s="288"/>
      <c r="AP515" s="422"/>
      <c r="AQ515" s="422"/>
      <c r="AR515" s="422"/>
    </row>
    <row r="516" s="202" customFormat="1" customHeight="1" spans="1:44">
      <c r="A516" s="115" t="s">
        <v>1905</v>
      </c>
      <c r="B516" s="107" t="s">
        <v>1906</v>
      </c>
      <c r="C516" s="406" t="s">
        <v>1907</v>
      </c>
      <c r="D516" s="193" t="str">
        <f t="shared" si="171"/>
        <v>李广生410103195611112436</v>
      </c>
      <c r="E516" s="155" t="s">
        <v>1908</v>
      </c>
      <c r="F516" s="115"/>
      <c r="G516" s="115">
        <v>3</v>
      </c>
      <c r="H516" s="115">
        <v>8</v>
      </c>
      <c r="I516" s="115"/>
      <c r="J516" s="115">
        <v>818</v>
      </c>
      <c r="K516" s="115">
        <v>69.11</v>
      </c>
      <c r="L516" s="115">
        <v>20000</v>
      </c>
      <c r="M516" s="115"/>
      <c r="N516" s="115"/>
      <c r="O516" s="431">
        <v>8800.52</v>
      </c>
      <c r="P516" s="445">
        <v>608204</v>
      </c>
      <c r="Q516" s="464" t="s">
        <v>66</v>
      </c>
      <c r="R516" s="484">
        <v>308204</v>
      </c>
      <c r="S516" s="484"/>
      <c r="T516" s="466" t="s">
        <v>47</v>
      </c>
      <c r="U516" s="466"/>
      <c r="V516" s="405">
        <v>300000</v>
      </c>
      <c r="W516" s="466">
        <v>4492</v>
      </c>
      <c r="X516" s="466">
        <v>550</v>
      </c>
      <c r="Y516" s="466"/>
      <c r="Z516" s="83" t="s">
        <v>48</v>
      </c>
      <c r="AA516" s="294"/>
      <c r="AB516" s="83">
        <f>230+2000</f>
        <v>2230</v>
      </c>
      <c r="AC516" s="83"/>
      <c r="AD516" s="83"/>
      <c r="AE516" s="83"/>
      <c r="AF516" s="467"/>
      <c r="AG516" s="294">
        <v>43165</v>
      </c>
      <c r="AH516" s="407">
        <f>R516+W516+X516</f>
        <v>313246</v>
      </c>
      <c r="AI516" s="132">
        <f t="shared" si="172"/>
        <v>615476</v>
      </c>
      <c r="AJ516" s="132">
        <f t="shared" si="173"/>
        <v>613246</v>
      </c>
      <c r="AK516" s="132">
        <f t="shared" si="174"/>
        <v>2230</v>
      </c>
      <c r="AL516" s="471"/>
      <c r="AM516" s="133" t="s">
        <v>900</v>
      </c>
      <c r="AN516" s="246">
        <v>44867</v>
      </c>
      <c r="AO516" s="288"/>
      <c r="AP516" s="422"/>
      <c r="AQ516" s="422"/>
      <c r="AR516" s="422"/>
    </row>
    <row r="517" s="202" customFormat="1" customHeight="1" spans="1:44">
      <c r="A517" s="115" t="s">
        <v>1909</v>
      </c>
      <c r="B517" s="404" t="s">
        <v>1910</v>
      </c>
      <c r="C517" s="406" t="s">
        <v>1911</v>
      </c>
      <c r="D517" s="193" t="str">
        <f t="shared" si="171"/>
        <v>马晓菲410481198410261047</v>
      </c>
      <c r="E517" s="155">
        <v>13838053386</v>
      </c>
      <c r="F517" s="115"/>
      <c r="G517" s="115">
        <v>2</v>
      </c>
      <c r="H517" s="115">
        <v>15</v>
      </c>
      <c r="I517" s="115"/>
      <c r="J517" s="115">
        <v>1516</v>
      </c>
      <c r="K517" s="115">
        <v>40.7</v>
      </c>
      <c r="L517" s="239">
        <v>30000</v>
      </c>
      <c r="M517" s="239"/>
      <c r="N517" s="239"/>
      <c r="O517" s="431">
        <v>14940.49</v>
      </c>
      <c r="P517" s="239">
        <v>608078</v>
      </c>
      <c r="Q517" s="464" t="s">
        <v>66</v>
      </c>
      <c r="R517" s="83">
        <v>308078</v>
      </c>
      <c r="S517" s="83"/>
      <c r="T517" s="464">
        <v>300000</v>
      </c>
      <c r="U517" s="83"/>
      <c r="V517" s="83"/>
      <c r="W517" s="401">
        <v>2645</v>
      </c>
      <c r="X517" s="83">
        <v>550</v>
      </c>
      <c r="Y517" s="83"/>
      <c r="Z517" s="83"/>
      <c r="AA517" s="294"/>
      <c r="AB517" s="83"/>
      <c r="AC517" s="83"/>
      <c r="AD517" s="83"/>
      <c r="AE517" s="83"/>
      <c r="AF517" s="467"/>
      <c r="AG517" s="294">
        <v>43271</v>
      </c>
      <c r="AH517" s="407">
        <f>R517+W517+X517</f>
        <v>311273</v>
      </c>
      <c r="AI517" s="132">
        <f t="shared" si="172"/>
        <v>311273</v>
      </c>
      <c r="AJ517" s="132">
        <f t="shared" si="173"/>
        <v>311273</v>
      </c>
      <c r="AK517" s="132">
        <f t="shared" si="174"/>
        <v>0</v>
      </c>
      <c r="AL517" s="471"/>
      <c r="AM517" s="133" t="s">
        <v>900</v>
      </c>
      <c r="AN517" s="246">
        <v>44867</v>
      </c>
      <c r="AO517" s="288"/>
      <c r="AP517" s="422"/>
      <c r="AQ517" s="422"/>
      <c r="AR517" s="422"/>
    </row>
    <row r="518" s="421" customFormat="1" customHeight="1" spans="1:44">
      <c r="A518" s="115" t="s">
        <v>1912</v>
      </c>
      <c r="B518" s="155" t="s">
        <v>1913</v>
      </c>
      <c r="C518" s="406" t="s">
        <v>1914</v>
      </c>
      <c r="D518" s="193" t="str">
        <f t="shared" si="171"/>
        <v>孟琦410103198712160027</v>
      </c>
      <c r="E518" s="155">
        <v>13526673032</v>
      </c>
      <c r="F518" s="115"/>
      <c r="G518" s="239">
        <v>6</v>
      </c>
      <c r="H518" s="115">
        <v>1</v>
      </c>
      <c r="I518" s="115">
        <v>16</v>
      </c>
      <c r="J518" s="115">
        <v>1606</v>
      </c>
      <c r="K518" s="115">
        <v>86.33</v>
      </c>
      <c r="L518" s="115">
        <v>17900</v>
      </c>
      <c r="M518" s="115"/>
      <c r="N518" s="115"/>
      <c r="O518" s="431">
        <v>15000</v>
      </c>
      <c r="P518" s="445">
        <v>1294950</v>
      </c>
      <c r="Q518" s="445" t="s">
        <v>66</v>
      </c>
      <c r="R518" s="115">
        <v>808000</v>
      </c>
      <c r="S518" s="97"/>
      <c r="T518" s="445">
        <v>486950</v>
      </c>
      <c r="U518" s="83"/>
      <c r="V518" s="83"/>
      <c r="W518" s="83"/>
      <c r="X518" s="83"/>
      <c r="Y518" s="83"/>
      <c r="Z518" s="83"/>
      <c r="AA518" s="294"/>
      <c r="AB518" s="83"/>
      <c r="AC518" s="83"/>
      <c r="AD518" s="83"/>
      <c r="AE518" s="83"/>
      <c r="AF518" s="467"/>
      <c r="AG518" s="294">
        <v>42827</v>
      </c>
      <c r="AH518" s="407">
        <f>R518</f>
        <v>808000</v>
      </c>
      <c r="AI518" s="132">
        <f t="shared" si="172"/>
        <v>808000</v>
      </c>
      <c r="AJ518" s="132">
        <f t="shared" si="173"/>
        <v>808000</v>
      </c>
      <c r="AK518" s="132">
        <f t="shared" si="174"/>
        <v>0</v>
      </c>
      <c r="AL518" s="471" t="s">
        <v>1915</v>
      </c>
      <c r="AM518" s="133" t="s">
        <v>900</v>
      </c>
      <c r="AN518" s="246">
        <v>44867</v>
      </c>
      <c r="AO518" s="288"/>
      <c r="AP518" s="422"/>
      <c r="AQ518" s="422"/>
      <c r="AR518" s="422"/>
    </row>
    <row r="519" s="202" customFormat="1" customHeight="1" spans="1:44">
      <c r="A519" s="115" t="s">
        <v>1916</v>
      </c>
      <c r="B519" s="339" t="s">
        <v>1917</v>
      </c>
      <c r="C519" s="460" t="s">
        <v>1918</v>
      </c>
      <c r="D519" s="193" t="str">
        <f t="shared" si="171"/>
        <v>贾清秀410711196601060043</v>
      </c>
      <c r="E519" s="107" t="s">
        <v>1919</v>
      </c>
      <c r="F519" s="194"/>
      <c r="G519" s="106">
        <v>11</v>
      </c>
      <c r="H519" s="106">
        <v>3</v>
      </c>
      <c r="I519" s="106">
        <v>13</v>
      </c>
      <c r="J519" s="106">
        <v>1302</v>
      </c>
      <c r="K519" s="106">
        <v>95.81</v>
      </c>
      <c r="L519" s="106">
        <v>10000</v>
      </c>
      <c r="M519" s="496"/>
      <c r="N519" s="496"/>
      <c r="O519" s="497">
        <v>8500</v>
      </c>
      <c r="P519" s="496">
        <v>814385</v>
      </c>
      <c r="Q519" s="496" t="s">
        <v>66</v>
      </c>
      <c r="R519" s="500">
        <v>400000</v>
      </c>
      <c r="S519" s="110"/>
      <c r="T519" s="500">
        <v>414385</v>
      </c>
      <c r="U519" s="401"/>
      <c r="V519" s="106"/>
      <c r="W519" s="106"/>
      <c r="X519" s="106"/>
      <c r="Y519" s="106"/>
      <c r="Z519" s="115"/>
      <c r="AA519" s="246"/>
      <c r="AB519" s="115"/>
      <c r="AC519" s="115"/>
      <c r="AD519" s="115"/>
      <c r="AE519" s="83"/>
      <c r="AF519" s="467"/>
      <c r="AG519" s="294">
        <v>43819</v>
      </c>
      <c r="AH519" s="407">
        <f>R519</f>
        <v>400000</v>
      </c>
      <c r="AI519" s="132">
        <f t="shared" si="172"/>
        <v>400000</v>
      </c>
      <c r="AJ519" s="132">
        <f t="shared" si="173"/>
        <v>400000</v>
      </c>
      <c r="AK519" s="132">
        <f t="shared" si="174"/>
        <v>0</v>
      </c>
      <c r="AL519" s="471"/>
      <c r="AM519" s="133" t="s">
        <v>900</v>
      </c>
      <c r="AN519" s="246">
        <v>44867</v>
      </c>
      <c r="AO519" s="288"/>
      <c r="AP519" s="422"/>
      <c r="AQ519" s="422"/>
      <c r="AR519" s="422"/>
    </row>
    <row r="520" s="202" customFormat="1" customHeight="1" spans="1:44">
      <c r="A520" s="115" t="s">
        <v>1920</v>
      </c>
      <c r="B520" s="115" t="s">
        <v>1921</v>
      </c>
      <c r="C520" s="403" t="s">
        <v>1922</v>
      </c>
      <c r="D520" s="193" t="str">
        <f t="shared" si="171"/>
        <v>王莉410105197802061020</v>
      </c>
      <c r="E520" s="155">
        <v>13700841099</v>
      </c>
      <c r="F520" s="115"/>
      <c r="G520" s="239">
        <v>9</v>
      </c>
      <c r="H520" s="115">
        <v>3</v>
      </c>
      <c r="I520" s="115">
        <v>23</v>
      </c>
      <c r="J520" s="115">
        <v>2304</v>
      </c>
      <c r="K520" s="115">
        <v>94.65</v>
      </c>
      <c r="L520" s="115">
        <v>11100</v>
      </c>
      <c r="M520" s="115"/>
      <c r="N520" s="115"/>
      <c r="O520" s="431">
        <v>11000</v>
      </c>
      <c r="P520" s="239">
        <v>1041150</v>
      </c>
      <c r="Q520" s="445" t="s">
        <v>66</v>
      </c>
      <c r="R520" s="445">
        <v>552200</v>
      </c>
      <c r="S520" s="445"/>
      <c r="T520" s="445">
        <v>488950</v>
      </c>
      <c r="U520" s="501"/>
      <c r="V520" s="83"/>
      <c r="W520" s="83"/>
      <c r="X520" s="83"/>
      <c r="Y520" s="83"/>
      <c r="Z520" s="83"/>
      <c r="AA520" s="294"/>
      <c r="AB520" s="83"/>
      <c r="AC520" s="83"/>
      <c r="AD520" s="83"/>
      <c r="AE520" s="83"/>
      <c r="AF520" s="467"/>
      <c r="AG520" s="294">
        <v>42450</v>
      </c>
      <c r="AH520" s="407">
        <f>R520</f>
        <v>552200</v>
      </c>
      <c r="AI520" s="132">
        <f t="shared" si="172"/>
        <v>552200</v>
      </c>
      <c r="AJ520" s="132">
        <f t="shared" si="173"/>
        <v>552200</v>
      </c>
      <c r="AK520" s="132">
        <f t="shared" si="174"/>
        <v>0</v>
      </c>
      <c r="AL520" s="451" t="s">
        <v>1923</v>
      </c>
      <c r="AM520" s="133" t="s">
        <v>900</v>
      </c>
      <c r="AN520" s="246">
        <v>44867</v>
      </c>
      <c r="AO520" s="288"/>
      <c r="AP520" s="422"/>
      <c r="AQ520" s="422"/>
      <c r="AR520" s="422"/>
    </row>
    <row r="521" s="202" customFormat="1" customHeight="1" spans="1:44">
      <c r="A521" s="115" t="s">
        <v>1924</v>
      </c>
      <c r="B521" s="155" t="s">
        <v>1925</v>
      </c>
      <c r="C521" s="406" t="s">
        <v>1926</v>
      </c>
      <c r="D521" s="193" t="str">
        <f t="shared" si="171"/>
        <v>杨洋410105198512060067</v>
      </c>
      <c r="E521" s="166" t="s">
        <v>1927</v>
      </c>
      <c r="F521" s="156"/>
      <c r="G521" s="239">
        <v>6</v>
      </c>
      <c r="H521" s="115">
        <v>1</v>
      </c>
      <c r="I521" s="115">
        <v>27</v>
      </c>
      <c r="J521" s="115">
        <v>2705</v>
      </c>
      <c r="K521" s="115">
        <v>93.07</v>
      </c>
      <c r="L521" s="115">
        <v>19461</v>
      </c>
      <c r="M521" s="115"/>
      <c r="N521" s="115"/>
      <c r="O521" s="431">
        <v>12000</v>
      </c>
      <c r="P521" s="445">
        <v>1116840</v>
      </c>
      <c r="Q521" s="445" t="s">
        <v>66</v>
      </c>
      <c r="R521" s="115">
        <v>566840</v>
      </c>
      <c r="S521" s="115"/>
      <c r="T521" s="445">
        <v>550000</v>
      </c>
      <c r="U521" s="83"/>
      <c r="V521" s="83"/>
      <c r="W521" s="83"/>
      <c r="X521" s="83"/>
      <c r="Y521" s="83"/>
      <c r="Z521" s="83"/>
      <c r="AA521" s="294"/>
      <c r="AB521" s="83"/>
      <c r="AC521" s="83"/>
      <c r="AD521" s="83"/>
      <c r="AE521" s="83"/>
      <c r="AF521" s="467"/>
      <c r="AG521" s="294">
        <v>43064</v>
      </c>
      <c r="AH521" s="407">
        <f>R521</f>
        <v>566840</v>
      </c>
      <c r="AI521" s="132">
        <f t="shared" si="172"/>
        <v>566840</v>
      </c>
      <c r="AJ521" s="132">
        <f t="shared" si="173"/>
        <v>566840</v>
      </c>
      <c r="AK521" s="132">
        <f t="shared" si="174"/>
        <v>0</v>
      </c>
      <c r="AL521" s="471"/>
      <c r="AM521" s="133" t="s">
        <v>900</v>
      </c>
      <c r="AN521" s="246">
        <v>44867</v>
      </c>
      <c r="AO521" s="288"/>
      <c r="AP521" s="422"/>
      <c r="AQ521" s="422"/>
      <c r="AR521" s="422"/>
    </row>
    <row r="522" s="202" customFormat="1" customHeight="1" spans="1:44">
      <c r="A522" s="115" t="s">
        <v>1928</v>
      </c>
      <c r="B522" s="339" t="s">
        <v>1929</v>
      </c>
      <c r="C522" s="460" t="s">
        <v>1930</v>
      </c>
      <c r="D522" s="193" t="str">
        <f t="shared" si="171"/>
        <v>李清荣410105197404064525</v>
      </c>
      <c r="E522" s="107">
        <v>13733819778</v>
      </c>
      <c r="F522" s="194"/>
      <c r="G522" s="106">
        <v>11</v>
      </c>
      <c r="H522" s="106">
        <v>3</v>
      </c>
      <c r="I522" s="106">
        <v>18</v>
      </c>
      <c r="J522" s="106">
        <v>1801</v>
      </c>
      <c r="K522" s="106">
        <v>149.28</v>
      </c>
      <c r="L522" s="106">
        <v>9100</v>
      </c>
      <c r="M522" s="106"/>
      <c r="N522" s="106"/>
      <c r="O522" s="447">
        <v>9000</v>
      </c>
      <c r="P522" s="106">
        <v>1343520</v>
      </c>
      <c r="Q522" s="106" t="s">
        <v>46</v>
      </c>
      <c r="R522" s="110">
        <v>753520</v>
      </c>
      <c r="S522" s="106"/>
      <c r="T522" s="106" t="s">
        <v>47</v>
      </c>
      <c r="U522" s="488"/>
      <c r="V522" s="487">
        <v>590000</v>
      </c>
      <c r="W522" s="339">
        <v>9703</v>
      </c>
      <c r="X522" s="339">
        <v>80</v>
      </c>
      <c r="Y522" s="339"/>
      <c r="Z522" s="83" t="s">
        <v>48</v>
      </c>
      <c r="AA522" s="294"/>
      <c r="AB522" s="83">
        <f>1000+26870.4</f>
        <v>27870.4</v>
      </c>
      <c r="AC522" s="83"/>
      <c r="AD522" s="83"/>
      <c r="AE522" s="83"/>
      <c r="AF522" s="467"/>
      <c r="AG522" s="294">
        <v>43980</v>
      </c>
      <c r="AH522" s="407"/>
      <c r="AI522" s="132">
        <f t="shared" si="172"/>
        <v>1381173.4</v>
      </c>
      <c r="AJ522" s="132">
        <f t="shared" si="173"/>
        <v>1353303</v>
      </c>
      <c r="AK522" s="132">
        <f t="shared" si="174"/>
        <v>27870.3999999999</v>
      </c>
      <c r="AL522" s="471"/>
      <c r="AM522" s="133" t="s">
        <v>900</v>
      </c>
      <c r="AN522" s="246">
        <v>44868</v>
      </c>
      <c r="AO522" s="288"/>
      <c r="AP522" s="422"/>
      <c r="AQ522" s="422"/>
      <c r="AR522" s="422"/>
    </row>
    <row r="523" s="202" customFormat="1" customHeight="1" spans="1:44">
      <c r="A523" s="115" t="s">
        <v>1931</v>
      </c>
      <c r="B523" s="107" t="s">
        <v>1793</v>
      </c>
      <c r="C523" s="406" t="s">
        <v>1932</v>
      </c>
      <c r="D523" s="193" t="str">
        <f t="shared" si="171"/>
        <v>张莉410105197605081620</v>
      </c>
      <c r="E523" s="166" t="s">
        <v>1933</v>
      </c>
      <c r="F523" s="156"/>
      <c r="G523" s="115">
        <v>3</v>
      </c>
      <c r="H523" s="115">
        <v>14</v>
      </c>
      <c r="I523" s="115"/>
      <c r="J523" s="115">
        <v>1402</v>
      </c>
      <c r="K523" s="115">
        <v>47.59</v>
      </c>
      <c r="L523" s="115">
        <v>20000</v>
      </c>
      <c r="M523" s="115"/>
      <c r="N523" s="115"/>
      <c r="O523" s="431">
        <v>14509.64</v>
      </c>
      <c r="P523" s="445">
        <v>690514</v>
      </c>
      <c r="Q523" s="445" t="s">
        <v>56</v>
      </c>
      <c r="R523" s="239">
        <v>690514</v>
      </c>
      <c r="S523" s="239"/>
      <c r="T523" s="502" t="s">
        <v>47</v>
      </c>
      <c r="U523" s="466"/>
      <c r="V523" s="503"/>
      <c r="W523" s="466">
        <v>3093</v>
      </c>
      <c r="X523" s="466">
        <v>550</v>
      </c>
      <c r="Y523" s="466"/>
      <c r="Z523" s="83" t="s">
        <v>48</v>
      </c>
      <c r="AA523" s="294"/>
      <c r="AB523" s="83"/>
      <c r="AC523" s="83"/>
      <c r="AD523" s="83"/>
      <c r="AE523" s="83"/>
      <c r="AF523" s="467"/>
      <c r="AG523" s="294">
        <v>43424</v>
      </c>
      <c r="AH523" s="407"/>
      <c r="AI523" s="132">
        <f t="shared" si="172"/>
        <v>694157</v>
      </c>
      <c r="AJ523" s="132">
        <f t="shared" si="173"/>
        <v>694157</v>
      </c>
      <c r="AK523" s="132">
        <f t="shared" si="174"/>
        <v>0</v>
      </c>
      <c r="AL523" s="471"/>
      <c r="AM523" s="133" t="s">
        <v>900</v>
      </c>
      <c r="AN523" s="246">
        <v>44868</v>
      </c>
      <c r="AO523" s="288"/>
      <c r="AP523" s="422"/>
      <c r="AQ523" s="422"/>
      <c r="AR523" s="422"/>
    </row>
    <row r="524" s="202" customFormat="1" customHeight="1" spans="1:44">
      <c r="A524" s="115" t="s">
        <v>1934</v>
      </c>
      <c r="B524" s="107" t="s">
        <v>1935</v>
      </c>
      <c r="C524" s="406" t="s">
        <v>1936</v>
      </c>
      <c r="D524" s="193" t="str">
        <f t="shared" si="171"/>
        <v>杜海410102197801052019</v>
      </c>
      <c r="E524" s="155">
        <v>18638006180</v>
      </c>
      <c r="F524" s="115"/>
      <c r="G524" s="115">
        <v>3</v>
      </c>
      <c r="H524" s="115">
        <v>10</v>
      </c>
      <c r="I524" s="115"/>
      <c r="J524" s="115">
        <v>1021</v>
      </c>
      <c r="K524" s="115">
        <v>71.53</v>
      </c>
      <c r="L524" s="115">
        <v>20000</v>
      </c>
      <c r="M524" s="115"/>
      <c r="N524" s="115"/>
      <c r="O524" s="431">
        <v>8625.22</v>
      </c>
      <c r="P524" s="445">
        <v>616962</v>
      </c>
      <c r="Q524" s="445" t="s">
        <v>66</v>
      </c>
      <c r="R524" s="449">
        <v>308962</v>
      </c>
      <c r="S524" s="449"/>
      <c r="T524" s="502" t="s">
        <v>47</v>
      </c>
      <c r="U524" s="466"/>
      <c r="V524" s="504">
        <v>308000</v>
      </c>
      <c r="W524" s="466">
        <v>4650</v>
      </c>
      <c r="X524" s="466">
        <v>550</v>
      </c>
      <c r="Y524" s="466"/>
      <c r="Z524" s="83" t="s">
        <v>48</v>
      </c>
      <c r="AA524" s="294"/>
      <c r="AB524" s="83"/>
      <c r="AC524" s="83"/>
      <c r="AD524" s="83"/>
      <c r="AE524" s="83"/>
      <c r="AF524" s="467"/>
      <c r="AG524" s="294">
        <v>43066</v>
      </c>
      <c r="AH524" s="407">
        <f>R524+W524+X524</f>
        <v>314162</v>
      </c>
      <c r="AI524" s="132">
        <f t="shared" ref="AI524:AI532" si="175">R524+V524+W524+X524+AA524+AB524+AC524+AD524</f>
        <v>622162</v>
      </c>
      <c r="AJ524" s="132">
        <f t="shared" ref="AJ524:AJ532" si="176">R524+W524+V524+X524+AA524</f>
        <v>622162</v>
      </c>
      <c r="AK524" s="132">
        <f t="shared" ref="AK524:AK532" si="177">AI524-AJ524</f>
        <v>0</v>
      </c>
      <c r="AL524" s="471"/>
      <c r="AM524" s="133" t="s">
        <v>900</v>
      </c>
      <c r="AN524" s="246">
        <v>44868</v>
      </c>
      <c r="AO524" s="288"/>
      <c r="AP524" s="422"/>
      <c r="AQ524" s="422"/>
      <c r="AR524" s="422"/>
    </row>
    <row r="525" s="202" customFormat="1" customHeight="1" spans="1:44">
      <c r="A525" s="115" t="s">
        <v>1937</v>
      </c>
      <c r="B525" s="404" t="s">
        <v>1938</v>
      </c>
      <c r="C525" s="406" t="s">
        <v>1939</v>
      </c>
      <c r="D525" s="193" t="str">
        <f t="shared" si="171"/>
        <v>张会娟41272419780304092x</v>
      </c>
      <c r="E525" s="155">
        <v>13603452196</v>
      </c>
      <c r="F525" s="115"/>
      <c r="G525" s="115">
        <v>2</v>
      </c>
      <c r="H525" s="115">
        <v>15</v>
      </c>
      <c r="I525" s="115"/>
      <c r="J525" s="115">
        <v>1510</v>
      </c>
      <c r="K525" s="115">
        <v>49.37</v>
      </c>
      <c r="L525" s="239">
        <v>30000</v>
      </c>
      <c r="M525" s="239"/>
      <c r="N525" s="239"/>
      <c r="O525" s="431"/>
      <c r="P525" s="239"/>
      <c r="Q525" s="445"/>
      <c r="R525" s="115">
        <v>20000</v>
      </c>
      <c r="S525" s="115"/>
      <c r="T525" s="505">
        <v>0</v>
      </c>
      <c r="U525" s="83"/>
      <c r="V525" s="506"/>
      <c r="W525" s="401"/>
      <c r="X525" s="83"/>
      <c r="Y525" s="83"/>
      <c r="Z525" s="83"/>
      <c r="AA525" s="294"/>
      <c r="AB525" s="83"/>
      <c r="AC525" s="83"/>
      <c r="AD525" s="83"/>
      <c r="AE525" s="83"/>
      <c r="AF525" s="467"/>
      <c r="AG525" s="294">
        <v>43296</v>
      </c>
      <c r="AH525" s="407">
        <f>R525</f>
        <v>20000</v>
      </c>
      <c r="AI525" s="132">
        <f t="shared" si="175"/>
        <v>20000</v>
      </c>
      <c r="AJ525" s="132">
        <f t="shared" si="176"/>
        <v>20000</v>
      </c>
      <c r="AK525" s="132">
        <f t="shared" si="177"/>
        <v>0</v>
      </c>
      <c r="AL525" s="471" t="s">
        <v>1940</v>
      </c>
      <c r="AM525" s="133" t="s">
        <v>900</v>
      </c>
      <c r="AN525" s="246">
        <v>44868</v>
      </c>
      <c r="AO525" s="288"/>
      <c r="AP525" s="422"/>
      <c r="AQ525" s="422"/>
      <c r="AR525" s="422"/>
    </row>
    <row r="526" s="202" customFormat="1" customHeight="1" spans="1:44">
      <c r="A526" s="115" t="s">
        <v>1941</v>
      </c>
      <c r="B526" s="339" t="s">
        <v>1942</v>
      </c>
      <c r="C526" s="460" t="s">
        <v>1943</v>
      </c>
      <c r="D526" s="193" t="str">
        <f t="shared" si="171"/>
        <v>张铎41010319910301001X</v>
      </c>
      <c r="E526" s="107" t="s">
        <v>1944</v>
      </c>
      <c r="F526" s="194"/>
      <c r="G526" s="106">
        <v>11</v>
      </c>
      <c r="H526" s="106">
        <v>3</v>
      </c>
      <c r="I526" s="106">
        <v>12</v>
      </c>
      <c r="J526" s="106">
        <v>1203</v>
      </c>
      <c r="K526" s="106">
        <v>151.44</v>
      </c>
      <c r="L526" s="106">
        <v>10000</v>
      </c>
      <c r="M526" s="496"/>
      <c r="N526" s="496"/>
      <c r="O526" s="497">
        <v>8500</v>
      </c>
      <c r="P526" s="496">
        <v>1287240</v>
      </c>
      <c r="Q526" s="496" t="s">
        <v>66</v>
      </c>
      <c r="R526" s="500">
        <v>800000</v>
      </c>
      <c r="S526" s="110"/>
      <c r="T526" s="500">
        <v>487240</v>
      </c>
      <c r="U526" s="422"/>
      <c r="V526" s="106"/>
      <c r="W526" s="106"/>
      <c r="X526" s="106"/>
      <c r="Y526" s="106"/>
      <c r="Z526" s="115"/>
      <c r="AA526" s="246"/>
      <c r="AB526" s="115"/>
      <c r="AC526" s="115"/>
      <c r="AD526" s="115"/>
      <c r="AE526" s="83"/>
      <c r="AF526" s="467"/>
      <c r="AG526" s="294">
        <v>43819</v>
      </c>
      <c r="AH526" s="407">
        <f>R526</f>
        <v>800000</v>
      </c>
      <c r="AI526" s="132">
        <f t="shared" si="175"/>
        <v>800000</v>
      </c>
      <c r="AJ526" s="132">
        <f t="shared" si="176"/>
        <v>800000</v>
      </c>
      <c r="AK526" s="132">
        <f t="shared" si="177"/>
        <v>0</v>
      </c>
      <c r="AL526" s="471"/>
      <c r="AM526" s="133" t="s">
        <v>900</v>
      </c>
      <c r="AN526" s="246">
        <v>44868</v>
      </c>
      <c r="AO526" s="288"/>
      <c r="AP526" s="422"/>
      <c r="AQ526" s="422"/>
      <c r="AR526" s="422"/>
    </row>
    <row r="527" s="202" customFormat="1" customHeight="1" spans="1:44">
      <c r="A527" s="115" t="s">
        <v>1945</v>
      </c>
      <c r="B527" s="404" t="s">
        <v>1946</v>
      </c>
      <c r="C527" s="406" t="s">
        <v>1947</v>
      </c>
      <c r="D527" s="193" t="str">
        <f t="shared" si="171"/>
        <v>唐鹏鹏411323199702115371</v>
      </c>
      <c r="E527" s="166" t="s">
        <v>1948</v>
      </c>
      <c r="F527" s="156"/>
      <c r="G527" s="115">
        <v>2</v>
      </c>
      <c r="H527" s="115">
        <v>20</v>
      </c>
      <c r="I527" s="115"/>
      <c r="J527" s="115">
        <v>2017</v>
      </c>
      <c r="K527" s="115">
        <v>56.7</v>
      </c>
      <c r="L527" s="239">
        <v>30000</v>
      </c>
      <c r="M527" s="239"/>
      <c r="N527" s="239"/>
      <c r="O527" s="431">
        <v>14768.77</v>
      </c>
      <c r="P527" s="239">
        <v>837389</v>
      </c>
      <c r="Q527" s="445" t="s">
        <v>66</v>
      </c>
      <c r="R527" s="115">
        <v>427389</v>
      </c>
      <c r="S527" s="115"/>
      <c r="T527" s="445">
        <v>410000</v>
      </c>
      <c r="U527" s="83"/>
      <c r="V527" s="445"/>
      <c r="W527" s="401">
        <v>3685</v>
      </c>
      <c r="X527" s="445">
        <v>550</v>
      </c>
      <c r="Y527" s="445"/>
      <c r="Z527" s="83"/>
      <c r="AA527" s="294"/>
      <c r="AB527" s="83"/>
      <c r="AC527" s="83"/>
      <c r="AD527" s="83"/>
      <c r="AE527" s="83"/>
      <c r="AF527" s="467"/>
      <c r="AG527" s="294">
        <v>43284</v>
      </c>
      <c r="AH527" s="407"/>
      <c r="AI527" s="132">
        <f t="shared" si="175"/>
        <v>431624</v>
      </c>
      <c r="AJ527" s="132">
        <f t="shared" si="176"/>
        <v>431624</v>
      </c>
      <c r="AK527" s="132">
        <f t="shared" si="177"/>
        <v>0</v>
      </c>
      <c r="AL527" s="471"/>
      <c r="AM527" s="133" t="s">
        <v>900</v>
      </c>
      <c r="AN527" s="246">
        <v>44868</v>
      </c>
      <c r="AO527" s="288"/>
      <c r="AP527" s="422"/>
      <c r="AQ527" s="422"/>
      <c r="AR527" s="422"/>
    </row>
    <row r="528" s="202" customFormat="1" customHeight="1" spans="1:41">
      <c r="A528" s="115" t="s">
        <v>1949</v>
      </c>
      <c r="B528" s="404" t="s">
        <v>1946</v>
      </c>
      <c r="C528" s="406" t="s">
        <v>1947</v>
      </c>
      <c r="D528" s="193" t="str">
        <f t="shared" si="171"/>
        <v>唐鹏鹏411323199702115371</v>
      </c>
      <c r="E528" s="166" t="s">
        <v>1948</v>
      </c>
      <c r="F528" s="156"/>
      <c r="G528" s="115">
        <v>2</v>
      </c>
      <c r="H528" s="115">
        <v>20</v>
      </c>
      <c r="I528" s="115"/>
      <c r="J528" s="115">
        <v>2018</v>
      </c>
      <c r="K528" s="115">
        <v>54.08</v>
      </c>
      <c r="L528" s="239">
        <v>30000</v>
      </c>
      <c r="M528" s="239"/>
      <c r="N528" s="239"/>
      <c r="O528" s="431">
        <v>14847.97</v>
      </c>
      <c r="P528" s="239">
        <v>802978</v>
      </c>
      <c r="Q528" s="464" t="s">
        <v>66</v>
      </c>
      <c r="R528" s="83">
        <v>402978</v>
      </c>
      <c r="S528" s="83"/>
      <c r="T528" s="464">
        <v>400000</v>
      </c>
      <c r="U528" s="83"/>
      <c r="V528" s="445"/>
      <c r="W528" s="401">
        <v>3515</v>
      </c>
      <c r="X528" s="445">
        <v>550</v>
      </c>
      <c r="Y528" s="445"/>
      <c r="Z528" s="83"/>
      <c r="AA528" s="294"/>
      <c r="AB528" s="83"/>
      <c r="AC528" s="83"/>
      <c r="AD528" s="83"/>
      <c r="AE528" s="83"/>
      <c r="AF528" s="467"/>
      <c r="AG528" s="294">
        <v>43284</v>
      </c>
      <c r="AH528" s="407"/>
      <c r="AI528" s="132">
        <f t="shared" si="175"/>
        <v>407043</v>
      </c>
      <c r="AJ528" s="132">
        <f t="shared" si="176"/>
        <v>407043</v>
      </c>
      <c r="AK528" s="132">
        <f t="shared" si="177"/>
        <v>0</v>
      </c>
      <c r="AL528" s="471"/>
      <c r="AM528" s="133" t="s">
        <v>900</v>
      </c>
      <c r="AN528" s="246">
        <v>44868</v>
      </c>
      <c r="AO528" s="259"/>
    </row>
    <row r="529" s="202" customFormat="1" customHeight="1" spans="1:41">
      <c r="A529" s="106" t="s">
        <v>1950</v>
      </c>
      <c r="B529" s="107" t="s">
        <v>1951</v>
      </c>
      <c r="C529" s="406" t="s">
        <v>1952</v>
      </c>
      <c r="D529" s="193" t="str">
        <f t="shared" si="171"/>
        <v>张晓鹏/余媛媛410105198812090196</v>
      </c>
      <c r="E529" s="155">
        <v>15093325688</v>
      </c>
      <c r="F529" s="115"/>
      <c r="G529" s="115">
        <v>3</v>
      </c>
      <c r="H529" s="115">
        <v>10</v>
      </c>
      <c r="I529" s="115"/>
      <c r="J529" s="115">
        <v>1011</v>
      </c>
      <c r="K529" s="115">
        <v>64.5</v>
      </c>
      <c r="L529" s="115">
        <v>20000</v>
      </c>
      <c r="M529" s="115"/>
      <c r="N529" s="115"/>
      <c r="O529" s="431">
        <v>9023.83</v>
      </c>
      <c r="P529" s="445">
        <v>582037</v>
      </c>
      <c r="Q529" s="464" t="s">
        <v>66</v>
      </c>
      <c r="R529" s="484">
        <v>292037</v>
      </c>
      <c r="S529" s="484"/>
      <c r="T529" s="466" t="s">
        <v>47</v>
      </c>
      <c r="U529" s="466"/>
      <c r="V529" s="405">
        <v>290000</v>
      </c>
      <c r="W529" s="466">
        <v>4192</v>
      </c>
      <c r="X529" s="466">
        <v>560</v>
      </c>
      <c r="Y529" s="466"/>
      <c r="Z529" s="83" t="s">
        <v>48</v>
      </c>
      <c r="AA529" s="294"/>
      <c r="AB529" s="83">
        <f>1000+29+230</f>
        <v>1259</v>
      </c>
      <c r="AC529" s="83">
        <v>78301.6</v>
      </c>
      <c r="AD529" s="83"/>
      <c r="AE529" s="181"/>
      <c r="AF529" s="181"/>
      <c r="AG529" s="247">
        <v>42747</v>
      </c>
      <c r="AH529" s="181"/>
      <c r="AI529" s="132">
        <f t="shared" si="175"/>
        <v>666349.6</v>
      </c>
      <c r="AJ529" s="132">
        <f t="shared" si="176"/>
        <v>586789</v>
      </c>
      <c r="AK529" s="132">
        <f t="shared" si="177"/>
        <v>79560.6</v>
      </c>
      <c r="AL529" s="176"/>
      <c r="AM529" s="115" t="s">
        <v>974</v>
      </c>
      <c r="AN529" s="246">
        <v>44868</v>
      </c>
      <c r="AO529" s="259"/>
    </row>
    <row r="530" s="202" customFormat="1" customHeight="1" spans="1:41">
      <c r="A530" s="106" t="s">
        <v>1953</v>
      </c>
      <c r="B530" s="107" t="s">
        <v>1954</v>
      </c>
      <c r="C530" s="406" t="s">
        <v>1955</v>
      </c>
      <c r="D530" s="193" t="str">
        <f t="shared" si="171"/>
        <v>李勇410105197911256134</v>
      </c>
      <c r="E530" s="155">
        <v>17181572508</v>
      </c>
      <c r="F530" s="115"/>
      <c r="G530" s="115">
        <v>3</v>
      </c>
      <c r="H530" s="115">
        <v>12</v>
      </c>
      <c r="I530" s="115"/>
      <c r="J530" s="115">
        <v>1219</v>
      </c>
      <c r="K530" s="115">
        <v>70.67</v>
      </c>
      <c r="L530" s="115">
        <v>20000</v>
      </c>
      <c r="M530" s="115"/>
      <c r="N530" s="115"/>
      <c r="O530" s="431">
        <v>8696.32</v>
      </c>
      <c r="P530" s="445">
        <v>614569</v>
      </c>
      <c r="Q530" s="464" t="s">
        <v>56</v>
      </c>
      <c r="R530" s="465">
        <v>614569</v>
      </c>
      <c r="S530" s="465"/>
      <c r="T530" s="466" t="s">
        <v>47</v>
      </c>
      <c r="U530" s="466"/>
      <c r="V530" s="466"/>
      <c r="W530" s="466">
        <v>4593</v>
      </c>
      <c r="X530" s="466">
        <v>550</v>
      </c>
      <c r="Y530" s="466"/>
      <c r="Z530" s="83" t="s">
        <v>48</v>
      </c>
      <c r="AA530" s="294"/>
      <c r="AB530" s="83"/>
      <c r="AC530" s="83"/>
      <c r="AD530" s="83"/>
      <c r="AE530" s="181"/>
      <c r="AF530" s="181"/>
      <c r="AG530" s="247">
        <v>43282</v>
      </c>
      <c r="AH530" s="181"/>
      <c r="AI530" s="132">
        <f t="shared" si="175"/>
        <v>619712</v>
      </c>
      <c r="AJ530" s="132">
        <f t="shared" si="176"/>
        <v>619712</v>
      </c>
      <c r="AK530" s="132">
        <f t="shared" si="177"/>
        <v>0</v>
      </c>
      <c r="AL530" s="176"/>
      <c r="AM530" s="115" t="s">
        <v>974</v>
      </c>
      <c r="AN530" s="246">
        <v>44868</v>
      </c>
      <c r="AO530" s="259"/>
    </row>
    <row r="531" s="202" customFormat="1" customHeight="1" spans="1:41">
      <c r="A531" s="106" t="s">
        <v>1956</v>
      </c>
      <c r="B531" s="115" t="s">
        <v>1957</v>
      </c>
      <c r="C531" s="403" t="s">
        <v>1958</v>
      </c>
      <c r="D531" s="193" t="str">
        <f t="shared" si="171"/>
        <v>李琦410182199004150346</v>
      </c>
      <c r="E531" s="155">
        <v>15639017567</v>
      </c>
      <c r="F531" s="115"/>
      <c r="G531" s="239">
        <v>9</v>
      </c>
      <c r="H531" s="115">
        <v>3</v>
      </c>
      <c r="I531" s="115">
        <v>19</v>
      </c>
      <c r="J531" s="115">
        <v>1903</v>
      </c>
      <c r="K531" s="115">
        <v>99.56</v>
      </c>
      <c r="L531" s="115">
        <v>8718</v>
      </c>
      <c r="M531" s="115"/>
      <c r="N531" s="115"/>
      <c r="O531" s="431">
        <v>8617.6</v>
      </c>
      <c r="P531" s="239">
        <v>857968</v>
      </c>
      <c r="Q531" s="464" t="s">
        <v>46</v>
      </c>
      <c r="R531" s="464">
        <v>277968</v>
      </c>
      <c r="S531" s="464"/>
      <c r="T531" s="464">
        <v>580000</v>
      </c>
      <c r="U531" s="464"/>
      <c r="V531" s="83"/>
      <c r="W531" s="83">
        <v>6471</v>
      </c>
      <c r="X531" s="83">
        <v>80</v>
      </c>
      <c r="Y531" s="83"/>
      <c r="Z531" s="83" t="s">
        <v>48</v>
      </c>
      <c r="AA531" s="294"/>
      <c r="AB531" s="83">
        <v>1000</v>
      </c>
      <c r="AC531" s="83"/>
      <c r="AD531" s="83"/>
      <c r="AE531" s="181"/>
      <c r="AF531" s="181"/>
      <c r="AG531" s="247">
        <v>44183</v>
      </c>
      <c r="AH531" s="181"/>
      <c r="AI531" s="132">
        <f t="shared" si="175"/>
        <v>285519</v>
      </c>
      <c r="AJ531" s="132">
        <f t="shared" si="176"/>
        <v>284519</v>
      </c>
      <c r="AK531" s="132">
        <f t="shared" si="177"/>
        <v>1000</v>
      </c>
      <c r="AL531" s="176"/>
      <c r="AM531" s="115" t="s">
        <v>974</v>
      </c>
      <c r="AN531" s="246">
        <v>44868</v>
      </c>
      <c r="AO531" s="259"/>
    </row>
    <row r="532" s="202" customFormat="1" customHeight="1" spans="1:44">
      <c r="A532" s="106" t="s">
        <v>1959</v>
      </c>
      <c r="B532" s="107" t="s">
        <v>1960</v>
      </c>
      <c r="C532" s="406" t="s">
        <v>1961</v>
      </c>
      <c r="D532" s="193" t="str">
        <f t="shared" si="171"/>
        <v>刘培培410425198904112024</v>
      </c>
      <c r="E532" s="155">
        <v>18236638236</v>
      </c>
      <c r="F532" s="115"/>
      <c r="G532" s="115">
        <v>3</v>
      </c>
      <c r="H532" s="115">
        <v>9</v>
      </c>
      <c r="I532" s="115"/>
      <c r="J532" s="115">
        <v>916</v>
      </c>
      <c r="K532" s="115">
        <v>67.42</v>
      </c>
      <c r="L532" s="115">
        <v>20000</v>
      </c>
      <c r="M532" s="115"/>
      <c r="N532" s="115"/>
      <c r="O532" s="431">
        <v>8653.31</v>
      </c>
      <c r="P532" s="445">
        <v>583406</v>
      </c>
      <c r="Q532" s="464" t="s">
        <v>66</v>
      </c>
      <c r="R532" s="484">
        <v>293406</v>
      </c>
      <c r="S532" s="484"/>
      <c r="T532" s="466" t="s">
        <v>47</v>
      </c>
      <c r="U532" s="485"/>
      <c r="V532" s="405">
        <v>290000</v>
      </c>
      <c r="W532" s="466">
        <v>4382</v>
      </c>
      <c r="X532" s="466">
        <v>550</v>
      </c>
      <c r="Y532" s="466"/>
      <c r="Z532" s="83" t="s">
        <v>48</v>
      </c>
      <c r="AA532" s="294"/>
      <c r="AB532" s="83">
        <v>3000</v>
      </c>
      <c r="AC532" s="83"/>
      <c r="AD532" s="83"/>
      <c r="AE532" s="181"/>
      <c r="AF532" s="181"/>
      <c r="AG532" s="247">
        <v>42748</v>
      </c>
      <c r="AH532" s="181"/>
      <c r="AI532" s="132">
        <f t="shared" si="175"/>
        <v>591338</v>
      </c>
      <c r="AJ532" s="132">
        <f t="shared" si="176"/>
        <v>588338</v>
      </c>
      <c r="AK532" s="132">
        <f t="shared" si="177"/>
        <v>3000</v>
      </c>
      <c r="AL532" s="176"/>
      <c r="AM532" s="115" t="s">
        <v>974</v>
      </c>
      <c r="AN532" s="246">
        <v>44868</v>
      </c>
      <c r="AO532" s="259"/>
      <c r="AP532" s="93"/>
      <c r="AQ532" s="93"/>
      <c r="AR532" s="93"/>
    </row>
    <row r="533" s="422" customFormat="1" customHeight="1" spans="1:44">
      <c r="A533" s="106" t="s">
        <v>1962</v>
      </c>
      <c r="B533" s="106" t="s">
        <v>1963</v>
      </c>
      <c r="C533" s="444" t="s">
        <v>1964</v>
      </c>
      <c r="D533" s="193" t="str">
        <f t="shared" si="171"/>
        <v>刘园41108119920107904X</v>
      </c>
      <c r="E533" s="107">
        <v>18537193657</v>
      </c>
      <c r="F533" s="194"/>
      <c r="G533" s="106">
        <v>11</v>
      </c>
      <c r="H533" s="106">
        <v>3</v>
      </c>
      <c r="I533" s="106">
        <v>12</v>
      </c>
      <c r="J533" s="106">
        <v>1202</v>
      </c>
      <c r="K533" s="106">
        <v>95.81</v>
      </c>
      <c r="L533" s="106">
        <v>10000</v>
      </c>
      <c r="M533" s="106"/>
      <c r="N533" s="106"/>
      <c r="O533" s="447">
        <v>8500</v>
      </c>
      <c r="P533" s="106">
        <v>814385</v>
      </c>
      <c r="Q533" s="106" t="s">
        <v>66</v>
      </c>
      <c r="R533" s="110">
        <v>600000</v>
      </c>
      <c r="S533" s="110"/>
      <c r="T533" s="110">
        <v>214385</v>
      </c>
      <c r="U533" s="425"/>
      <c r="V533" s="106"/>
      <c r="W533" s="106"/>
      <c r="X533" s="106"/>
      <c r="Y533" s="106"/>
      <c r="Z533" s="106"/>
      <c r="AA533" s="290"/>
      <c r="AB533" s="106"/>
      <c r="AC533" s="106"/>
      <c r="AD533" s="106"/>
      <c r="AE533" s="181"/>
      <c r="AF533" s="181"/>
      <c r="AG533" s="247">
        <v>43822</v>
      </c>
      <c r="AH533" s="181"/>
      <c r="AI533" s="132">
        <f t="shared" ref="AI533:AI544" si="178">R533+V533+W533+X533+AA533+AB533+AC533+AD533</f>
        <v>600000</v>
      </c>
      <c r="AJ533" s="132">
        <f t="shared" ref="AJ533:AJ547" si="179">R533+W533+V533+X533+AA533</f>
        <v>600000</v>
      </c>
      <c r="AK533" s="132">
        <f t="shared" ref="AK533:AK544" si="180">AI533-AJ533</f>
        <v>0</v>
      </c>
      <c r="AL533" s="176"/>
      <c r="AM533" s="115" t="s">
        <v>974</v>
      </c>
      <c r="AN533" s="246">
        <v>44868</v>
      </c>
      <c r="AO533" s="259"/>
      <c r="AP533" s="96"/>
      <c r="AQ533" s="96"/>
      <c r="AR533" s="96"/>
    </row>
    <row r="534" s="422" customFormat="1" customHeight="1" spans="1:44">
      <c r="A534" s="106" t="s">
        <v>1965</v>
      </c>
      <c r="B534" s="106" t="s">
        <v>1966</v>
      </c>
      <c r="C534" s="444" t="s">
        <v>1967</v>
      </c>
      <c r="D534" s="193" t="str">
        <f t="shared" si="171"/>
        <v>谭艳琴410104196212303025</v>
      </c>
      <c r="E534" s="107">
        <v>13607693114</v>
      </c>
      <c r="F534" s="194"/>
      <c r="G534" s="106">
        <v>11</v>
      </c>
      <c r="H534" s="106">
        <v>3</v>
      </c>
      <c r="I534" s="106">
        <v>22</v>
      </c>
      <c r="J534" s="106">
        <v>2202</v>
      </c>
      <c r="K534" s="106">
        <v>95.81</v>
      </c>
      <c r="L534" s="106">
        <v>9100</v>
      </c>
      <c r="M534" s="106"/>
      <c r="N534" s="106"/>
      <c r="O534" s="447">
        <v>9000</v>
      </c>
      <c r="P534" s="106">
        <v>862290</v>
      </c>
      <c r="Q534" s="106" t="s">
        <v>66</v>
      </c>
      <c r="R534" s="110">
        <v>263360</v>
      </c>
      <c r="S534" s="110"/>
      <c r="T534" s="110">
        <v>598930</v>
      </c>
      <c r="U534" s="252"/>
      <c r="V534" s="106"/>
      <c r="W534" s="106"/>
      <c r="X534" s="106"/>
      <c r="Y534" s="106"/>
      <c r="Z534" s="115"/>
      <c r="AA534" s="246"/>
      <c r="AB534" s="115">
        <v>1160</v>
      </c>
      <c r="AC534" s="115"/>
      <c r="AD534" s="115"/>
      <c r="AE534" s="181"/>
      <c r="AF534" s="181"/>
      <c r="AG534" s="247">
        <v>42037</v>
      </c>
      <c r="AH534" s="181"/>
      <c r="AI534" s="132">
        <f t="shared" si="178"/>
        <v>264520</v>
      </c>
      <c r="AJ534" s="132">
        <f t="shared" si="179"/>
        <v>263360</v>
      </c>
      <c r="AK534" s="132">
        <f t="shared" si="180"/>
        <v>1160</v>
      </c>
      <c r="AL534" s="176"/>
      <c r="AM534" s="115" t="s">
        <v>974</v>
      </c>
      <c r="AN534" s="246">
        <v>44868</v>
      </c>
      <c r="AO534" s="259"/>
      <c r="AP534" s="202"/>
      <c r="AQ534" s="202"/>
      <c r="AR534" s="202"/>
    </row>
    <row r="535" s="423" customFormat="1" customHeight="1" spans="1:44">
      <c r="A535" s="346" t="s">
        <v>1968</v>
      </c>
      <c r="B535" s="337" t="s">
        <v>1969</v>
      </c>
      <c r="C535" s="552" t="s">
        <v>1970</v>
      </c>
      <c r="D535" s="193" t="str">
        <f t="shared" si="171"/>
        <v>董瑞丽410526196301010048</v>
      </c>
      <c r="E535" s="494">
        <v>18625825968</v>
      </c>
      <c r="F535" s="443"/>
      <c r="G535" s="337">
        <v>10</v>
      </c>
      <c r="H535" s="337">
        <v>1</v>
      </c>
      <c r="I535" s="337">
        <v>22</v>
      </c>
      <c r="J535" s="337">
        <v>2208</v>
      </c>
      <c r="K535" s="337">
        <v>94.61</v>
      </c>
      <c r="L535" s="337">
        <v>19950</v>
      </c>
      <c r="M535" s="498"/>
      <c r="N535" s="498"/>
      <c r="O535" s="499">
        <v>19000</v>
      </c>
      <c r="P535" s="346">
        <f>O535*K535</f>
        <v>1797590</v>
      </c>
      <c r="Q535" s="346"/>
      <c r="R535" s="346">
        <v>1797590</v>
      </c>
      <c r="S535" s="337"/>
      <c r="T535" s="337"/>
      <c r="U535" s="507"/>
      <c r="V535" s="395"/>
      <c r="W535" s="395"/>
      <c r="X535" s="395"/>
      <c r="Y535" s="337"/>
      <c r="Z535" s="337"/>
      <c r="AA535" s="395"/>
      <c r="AB535" s="337"/>
      <c r="AC535" s="337"/>
      <c r="AD535" s="337"/>
      <c r="AE535" s="337"/>
      <c r="AF535" s="443"/>
      <c r="AG535" s="508">
        <v>44174</v>
      </c>
      <c r="AH535" s="395"/>
      <c r="AI535" s="342">
        <f t="shared" si="178"/>
        <v>1797590</v>
      </c>
      <c r="AJ535" s="342">
        <f t="shared" si="179"/>
        <v>1797590</v>
      </c>
      <c r="AK535" s="342">
        <f t="shared" si="180"/>
        <v>0</v>
      </c>
      <c r="AL535" s="451" t="s">
        <v>1971</v>
      </c>
      <c r="AM535" s="337" t="s">
        <v>974</v>
      </c>
      <c r="AN535" s="396">
        <v>44869</v>
      </c>
      <c r="AO535" s="452"/>
      <c r="AP535" s="509"/>
      <c r="AQ535" s="509"/>
      <c r="AR535" s="509"/>
    </row>
    <row r="536" s="422" customFormat="1" customHeight="1" spans="1:44">
      <c r="A536" s="115" t="s">
        <v>1972</v>
      </c>
      <c r="B536" s="106" t="s">
        <v>1973</v>
      </c>
      <c r="C536" s="459" t="s">
        <v>1974</v>
      </c>
      <c r="D536" s="193" t="str">
        <f t="shared" si="171"/>
        <v>陈军广412723198203212511</v>
      </c>
      <c r="E536" s="106">
        <v>13213128640</v>
      </c>
      <c r="F536" s="453"/>
      <c r="G536" s="106">
        <v>3</v>
      </c>
      <c r="H536" s="106">
        <v>8</v>
      </c>
      <c r="I536" s="106"/>
      <c r="J536" s="106">
        <v>825</v>
      </c>
      <c r="K536" s="106">
        <v>66.94</v>
      </c>
      <c r="L536" s="106">
        <v>20000</v>
      </c>
      <c r="M536" s="120"/>
      <c r="N536" s="120"/>
      <c r="O536" s="455">
        <v>12975</v>
      </c>
      <c r="P536" s="106">
        <v>868547</v>
      </c>
      <c r="Q536" s="106" t="s">
        <v>66</v>
      </c>
      <c r="R536" s="106">
        <v>438547</v>
      </c>
      <c r="S536" s="106"/>
      <c r="T536" s="106">
        <v>430000</v>
      </c>
      <c r="U536" s="92"/>
      <c r="V536" s="129"/>
      <c r="W536" s="129">
        <v>4351</v>
      </c>
      <c r="X536" s="129">
        <v>550</v>
      </c>
      <c r="Y536" s="106"/>
      <c r="Z536" s="106" t="s">
        <v>48</v>
      </c>
      <c r="AA536" s="129"/>
      <c r="AB536" s="106">
        <v>1263</v>
      </c>
      <c r="AC536" s="106"/>
      <c r="AD536" s="106"/>
      <c r="AE536" s="106"/>
      <c r="AF536" s="453"/>
      <c r="AG536" s="290"/>
      <c r="AH536" s="129"/>
      <c r="AI536" s="289">
        <f t="shared" si="178"/>
        <v>444711</v>
      </c>
      <c r="AJ536" s="289">
        <f t="shared" si="179"/>
        <v>443448</v>
      </c>
      <c r="AK536" s="289">
        <f t="shared" si="180"/>
        <v>1263</v>
      </c>
      <c r="AL536" s="350" t="s">
        <v>1975</v>
      </c>
      <c r="AM536" s="133" t="s">
        <v>886</v>
      </c>
      <c r="AN536" s="246">
        <v>44868</v>
      </c>
      <c r="AO536" s="259"/>
      <c r="AP536" s="93"/>
      <c r="AQ536" s="93"/>
      <c r="AR536" s="93"/>
    </row>
    <row r="537" s="422" customFormat="1" customHeight="1" spans="1:44">
      <c r="A537" s="115" t="s">
        <v>1976</v>
      </c>
      <c r="B537" s="106" t="s">
        <v>1977</v>
      </c>
      <c r="C537" s="553" t="s">
        <v>1978</v>
      </c>
      <c r="D537" s="193" t="str">
        <f t="shared" si="171"/>
        <v>史佳佳410482199111120026</v>
      </c>
      <c r="E537" s="106">
        <v>15617631776</v>
      </c>
      <c r="F537" s="453"/>
      <c r="G537" s="106">
        <v>10</v>
      </c>
      <c r="H537" s="106">
        <v>2</v>
      </c>
      <c r="I537" s="106">
        <v>13</v>
      </c>
      <c r="J537" s="106">
        <v>1307</v>
      </c>
      <c r="K537" s="106">
        <v>99.52</v>
      </c>
      <c r="L537" s="106">
        <v>19770</v>
      </c>
      <c r="M537" s="120"/>
      <c r="N537" s="120"/>
      <c r="O537" s="455">
        <v>19054.96</v>
      </c>
      <c r="P537" s="106">
        <v>1896350</v>
      </c>
      <c r="Q537" s="106" t="s">
        <v>66</v>
      </c>
      <c r="R537" s="106">
        <v>576350</v>
      </c>
      <c r="S537" s="106"/>
      <c r="T537" s="106">
        <v>1319999.6192</v>
      </c>
      <c r="U537" s="92"/>
      <c r="V537" s="129"/>
      <c r="W537" s="129">
        <v>6468</v>
      </c>
      <c r="X537" s="129">
        <v>80</v>
      </c>
      <c r="Y537" s="106"/>
      <c r="Z537" s="106"/>
      <c r="AA537" s="129"/>
      <c r="AB537" s="106"/>
      <c r="AC537" s="106"/>
      <c r="AD537" s="106"/>
      <c r="AE537" s="106"/>
      <c r="AF537" s="453"/>
      <c r="AG537" s="290">
        <v>43296</v>
      </c>
      <c r="AH537" s="129">
        <f>AJ537</f>
        <v>582898</v>
      </c>
      <c r="AI537" s="289">
        <f t="shared" si="178"/>
        <v>582898</v>
      </c>
      <c r="AJ537" s="289">
        <f t="shared" si="179"/>
        <v>582898</v>
      </c>
      <c r="AK537" s="289">
        <f t="shared" si="180"/>
        <v>0</v>
      </c>
      <c r="AL537" s="350"/>
      <c r="AM537" s="133" t="s">
        <v>886</v>
      </c>
      <c r="AN537" s="246">
        <v>44868</v>
      </c>
      <c r="AO537" s="259"/>
      <c r="AP537" s="93"/>
      <c r="AQ537" s="93"/>
      <c r="AR537" s="93"/>
    </row>
    <row r="538" s="422" customFormat="1" customHeight="1" spans="1:44">
      <c r="A538" s="115" t="s">
        <v>1979</v>
      </c>
      <c r="B538" s="106" t="s">
        <v>1980</v>
      </c>
      <c r="C538" s="459" t="s">
        <v>1981</v>
      </c>
      <c r="D538" s="193" t="str">
        <f t="shared" si="171"/>
        <v>郑文娟412727198502050028</v>
      </c>
      <c r="E538" s="106">
        <v>13693719835</v>
      </c>
      <c r="F538" s="453"/>
      <c r="G538" s="106">
        <v>9</v>
      </c>
      <c r="H538" s="106">
        <v>3</v>
      </c>
      <c r="I538" s="106">
        <v>6</v>
      </c>
      <c r="J538" s="106">
        <v>604</v>
      </c>
      <c r="K538" s="106">
        <v>94.65</v>
      </c>
      <c r="L538" s="106">
        <v>8637</v>
      </c>
      <c r="M538" s="120"/>
      <c r="N538" s="120"/>
      <c r="O538" s="455">
        <v>8537.61</v>
      </c>
      <c r="P538" s="106">
        <v>808085</v>
      </c>
      <c r="Q538" s="106" t="s">
        <v>46</v>
      </c>
      <c r="R538" s="106">
        <v>438085</v>
      </c>
      <c r="S538" s="106"/>
      <c r="T538" s="106">
        <v>370000</v>
      </c>
      <c r="U538" s="92"/>
      <c r="V538" s="129"/>
      <c r="W538" s="129">
        <v>6152</v>
      </c>
      <c r="X538" s="129">
        <v>80</v>
      </c>
      <c r="Y538" s="106"/>
      <c r="Z538" s="106" t="s">
        <v>48</v>
      </c>
      <c r="AA538" s="129"/>
      <c r="AB538" s="106"/>
      <c r="AC538" s="106"/>
      <c r="AD538" s="106"/>
      <c r="AE538" s="106"/>
      <c r="AF538" s="453"/>
      <c r="AG538" s="290">
        <v>43135</v>
      </c>
      <c r="AH538" s="129">
        <f>R538+W538</f>
        <v>444237</v>
      </c>
      <c r="AI538" s="289">
        <f t="shared" si="178"/>
        <v>444317</v>
      </c>
      <c r="AJ538" s="289">
        <f t="shared" si="179"/>
        <v>444317</v>
      </c>
      <c r="AK538" s="289">
        <f t="shared" si="180"/>
        <v>0</v>
      </c>
      <c r="AL538" s="350" t="s">
        <v>1982</v>
      </c>
      <c r="AM538" s="133" t="s">
        <v>886</v>
      </c>
      <c r="AN538" s="246">
        <v>44868</v>
      </c>
      <c r="AO538" s="259"/>
      <c r="AP538" s="93"/>
      <c r="AQ538" s="93"/>
      <c r="AR538" s="93"/>
    </row>
    <row r="539" s="422" customFormat="1" customHeight="1" spans="1:44">
      <c r="A539" s="115" t="s">
        <v>1983</v>
      </c>
      <c r="B539" s="106" t="s">
        <v>1984</v>
      </c>
      <c r="C539" s="459" t="s">
        <v>1985</v>
      </c>
      <c r="D539" s="193" t="str">
        <f t="shared" si="171"/>
        <v>沈红萍41010419670309204X</v>
      </c>
      <c r="E539" s="106">
        <v>13525549742</v>
      </c>
      <c r="F539" s="453"/>
      <c r="G539" s="106">
        <v>3</v>
      </c>
      <c r="H539" s="106">
        <v>9</v>
      </c>
      <c r="I539" s="106"/>
      <c r="J539" s="106">
        <v>924</v>
      </c>
      <c r="K539" s="106">
        <v>58.01</v>
      </c>
      <c r="L539" s="106">
        <v>20000</v>
      </c>
      <c r="M539" s="120"/>
      <c r="N539" s="120"/>
      <c r="O539" s="455">
        <v>9264.32</v>
      </c>
      <c r="P539" s="106">
        <v>537423</v>
      </c>
      <c r="Q539" s="106" t="s">
        <v>56</v>
      </c>
      <c r="R539" s="106">
        <v>584483</v>
      </c>
      <c r="S539" s="106">
        <v>-47060</v>
      </c>
      <c r="T539" s="106" t="s">
        <v>47</v>
      </c>
      <c r="U539" s="92"/>
      <c r="V539" s="129"/>
      <c r="W539" s="129">
        <v>3770</v>
      </c>
      <c r="X539" s="129">
        <v>550</v>
      </c>
      <c r="Y539" s="106"/>
      <c r="Z539" s="106" t="s">
        <v>48</v>
      </c>
      <c r="AA539" s="129"/>
      <c r="AB539" s="106"/>
      <c r="AC539" s="106"/>
      <c r="AD539" s="106"/>
      <c r="AE539" s="106"/>
      <c r="AF539" s="453"/>
      <c r="AG539" s="290"/>
      <c r="AH539" s="129"/>
      <c r="AI539" s="289">
        <f t="shared" si="178"/>
        <v>588803</v>
      </c>
      <c r="AJ539" s="289">
        <f t="shared" si="179"/>
        <v>588803</v>
      </c>
      <c r="AK539" s="289">
        <f t="shared" si="180"/>
        <v>0</v>
      </c>
      <c r="AL539" s="350" t="s">
        <v>1986</v>
      </c>
      <c r="AM539" s="133" t="s">
        <v>886</v>
      </c>
      <c r="AN539" s="246">
        <v>44868</v>
      </c>
      <c r="AO539" s="259"/>
      <c r="AP539" s="93"/>
      <c r="AQ539" s="93"/>
      <c r="AR539" s="93"/>
    </row>
    <row r="540" s="422" customFormat="1" customHeight="1" spans="1:44">
      <c r="A540" s="115" t="s">
        <v>1987</v>
      </c>
      <c r="B540" s="106" t="s">
        <v>1988</v>
      </c>
      <c r="C540" s="459" t="s">
        <v>1989</v>
      </c>
      <c r="D540" s="193" t="str">
        <f t="shared" si="171"/>
        <v>董美娜410105198507290044</v>
      </c>
      <c r="E540" s="106">
        <v>13629842069</v>
      </c>
      <c r="F540" s="453"/>
      <c r="G540" s="106">
        <v>10</v>
      </c>
      <c r="H540" s="106">
        <v>2</v>
      </c>
      <c r="I540" s="106">
        <v>13</v>
      </c>
      <c r="J540" s="106">
        <v>1305</v>
      </c>
      <c r="K540" s="106">
        <v>93.84</v>
      </c>
      <c r="L540" s="106">
        <v>17900</v>
      </c>
      <c r="M540" s="120"/>
      <c r="N540" s="120"/>
      <c r="O540" s="455">
        <v>13800</v>
      </c>
      <c r="P540" s="106">
        <v>1294992</v>
      </c>
      <c r="Q540" s="106" t="s">
        <v>56</v>
      </c>
      <c r="R540" s="106">
        <v>1355881</v>
      </c>
      <c r="S540" s="106">
        <v>-60889</v>
      </c>
      <c r="T540" s="106" t="s">
        <v>47</v>
      </c>
      <c r="U540" s="92"/>
      <c r="V540" s="129"/>
      <c r="W540" s="129">
        <v>6099</v>
      </c>
      <c r="X540" s="129">
        <v>80</v>
      </c>
      <c r="Y540" s="106"/>
      <c r="Z540" s="106" t="s">
        <v>48</v>
      </c>
      <c r="AA540" s="129"/>
      <c r="AB540" s="106"/>
      <c r="AC540" s="106"/>
      <c r="AD540" s="106"/>
      <c r="AE540" s="106"/>
      <c r="AF540" s="453"/>
      <c r="AG540" s="290">
        <v>43983</v>
      </c>
      <c r="AH540" s="129"/>
      <c r="AI540" s="289">
        <f t="shared" si="178"/>
        <v>1362060</v>
      </c>
      <c r="AJ540" s="289">
        <f t="shared" si="179"/>
        <v>1362060</v>
      </c>
      <c r="AK540" s="289">
        <f t="shared" si="180"/>
        <v>0</v>
      </c>
      <c r="AL540" s="350"/>
      <c r="AM540" s="133" t="s">
        <v>886</v>
      </c>
      <c r="AN540" s="246">
        <v>44868</v>
      </c>
      <c r="AO540" s="259"/>
      <c r="AP540" s="93"/>
      <c r="AQ540" s="93"/>
      <c r="AR540" s="93"/>
    </row>
    <row r="541" s="422" customFormat="1" customHeight="1" spans="1:44">
      <c r="A541" s="115" t="s">
        <v>1990</v>
      </c>
      <c r="B541" s="106" t="s">
        <v>1991</v>
      </c>
      <c r="C541" s="459" t="s">
        <v>1992</v>
      </c>
      <c r="D541" s="193" t="str">
        <f t="shared" si="171"/>
        <v>杜盼盼41270219900615794X</v>
      </c>
      <c r="E541" s="106" t="s">
        <v>1993</v>
      </c>
      <c r="F541" s="453"/>
      <c r="G541" s="106">
        <v>3</v>
      </c>
      <c r="H541" s="106">
        <v>10</v>
      </c>
      <c r="I541" s="106"/>
      <c r="J541" s="106">
        <v>1018</v>
      </c>
      <c r="K541" s="106">
        <v>69.11</v>
      </c>
      <c r="L541" s="106">
        <v>20000</v>
      </c>
      <c r="M541" s="120"/>
      <c r="N541" s="120"/>
      <c r="O541" s="455">
        <v>8859.76</v>
      </c>
      <c r="P541" s="106">
        <v>612298</v>
      </c>
      <c r="Q541" s="106" t="s">
        <v>66</v>
      </c>
      <c r="R541" s="106">
        <v>312298</v>
      </c>
      <c r="S541" s="106"/>
      <c r="T541" s="106" t="s">
        <v>47</v>
      </c>
      <c r="U541" s="92"/>
      <c r="V541" s="129">
        <v>300000</v>
      </c>
      <c r="W541" s="129">
        <v>4492</v>
      </c>
      <c r="X541" s="129">
        <v>550</v>
      </c>
      <c r="Y541" s="106"/>
      <c r="Z541" s="106" t="s">
        <v>48</v>
      </c>
      <c r="AA541" s="129"/>
      <c r="AB541" s="106">
        <f>2130-550</f>
        <v>1580</v>
      </c>
      <c r="AC541" s="106"/>
      <c r="AD541" s="106"/>
      <c r="AE541" s="106"/>
      <c r="AF541" s="453"/>
      <c r="AG541" s="290">
        <v>43068</v>
      </c>
      <c r="AH541" s="129">
        <f>R541+X541</f>
        <v>312848</v>
      </c>
      <c r="AI541" s="289">
        <f t="shared" si="178"/>
        <v>618920</v>
      </c>
      <c r="AJ541" s="289">
        <f t="shared" si="179"/>
        <v>617340</v>
      </c>
      <c r="AK541" s="289">
        <f t="shared" si="180"/>
        <v>1580</v>
      </c>
      <c r="AL541" s="350" t="s">
        <v>1994</v>
      </c>
      <c r="AM541" s="133" t="s">
        <v>886</v>
      </c>
      <c r="AN541" s="246">
        <v>44868</v>
      </c>
      <c r="AO541" s="259"/>
      <c r="AP541" s="93"/>
      <c r="AQ541" s="93"/>
      <c r="AR541" s="93"/>
    </row>
    <row r="542" s="422" customFormat="1" customHeight="1" spans="1:44">
      <c r="A542" s="115" t="s">
        <v>1995</v>
      </c>
      <c r="B542" s="106" t="s">
        <v>1996</v>
      </c>
      <c r="C542" s="459" t="s">
        <v>1997</v>
      </c>
      <c r="D542" s="193" t="str">
        <f t="shared" si="171"/>
        <v>杜蕊412702198701027827</v>
      </c>
      <c r="E542" s="106">
        <v>15994188861</v>
      </c>
      <c r="F542" s="453"/>
      <c r="G542" s="106">
        <v>3</v>
      </c>
      <c r="H542" s="106">
        <v>10</v>
      </c>
      <c r="I542" s="106"/>
      <c r="J542" s="106">
        <v>1017</v>
      </c>
      <c r="K542" s="106">
        <v>68.25</v>
      </c>
      <c r="L542" s="106">
        <v>20000</v>
      </c>
      <c r="M542" s="120"/>
      <c r="N542" s="120"/>
      <c r="O542" s="455">
        <v>8860.07</v>
      </c>
      <c r="P542" s="106">
        <v>604700</v>
      </c>
      <c r="Q542" s="106" t="s">
        <v>66</v>
      </c>
      <c r="R542" s="106">
        <v>304700</v>
      </c>
      <c r="S542" s="106"/>
      <c r="T542" s="106" t="s">
        <v>47</v>
      </c>
      <c r="U542" s="92"/>
      <c r="V542" s="129">
        <v>300000</v>
      </c>
      <c r="W542" s="129">
        <v>4436</v>
      </c>
      <c r="X542" s="129">
        <v>550</v>
      </c>
      <c r="Y542" s="106"/>
      <c r="Z542" s="106" t="s">
        <v>48</v>
      </c>
      <c r="AA542" s="129"/>
      <c r="AB542" s="106">
        <f>2130-X542</f>
        <v>1580</v>
      </c>
      <c r="AC542" s="106"/>
      <c r="AD542" s="106"/>
      <c r="AE542" s="106"/>
      <c r="AF542" s="453"/>
      <c r="AG542" s="290">
        <v>43068</v>
      </c>
      <c r="AH542" s="129">
        <f>AJ542</f>
        <v>609686</v>
      </c>
      <c r="AI542" s="289">
        <f t="shared" si="178"/>
        <v>611266</v>
      </c>
      <c r="AJ542" s="289">
        <f t="shared" si="179"/>
        <v>609686</v>
      </c>
      <c r="AK542" s="289">
        <f t="shared" si="180"/>
        <v>1580</v>
      </c>
      <c r="AL542" s="350"/>
      <c r="AM542" s="133" t="s">
        <v>886</v>
      </c>
      <c r="AN542" s="246">
        <v>44868</v>
      </c>
      <c r="AO542" s="259"/>
      <c r="AP542" s="93"/>
      <c r="AQ542" s="93"/>
      <c r="AR542" s="93"/>
    </row>
    <row r="543" s="422" customFormat="1" customHeight="1" spans="1:44">
      <c r="A543" s="115" t="s">
        <v>1998</v>
      </c>
      <c r="B543" s="106" t="s">
        <v>1999</v>
      </c>
      <c r="C543" s="459" t="s">
        <v>2000</v>
      </c>
      <c r="D543" s="193" t="str">
        <f t="shared" si="171"/>
        <v>魏威410105196610113338</v>
      </c>
      <c r="E543" s="106" t="s">
        <v>2001</v>
      </c>
      <c r="F543" s="453"/>
      <c r="G543" s="106">
        <v>3</v>
      </c>
      <c r="H543" s="106">
        <v>13</v>
      </c>
      <c r="I543" s="106"/>
      <c r="J543" s="106">
        <v>1324</v>
      </c>
      <c r="K543" s="106">
        <v>58.01</v>
      </c>
      <c r="L543" s="106">
        <v>20000</v>
      </c>
      <c r="M543" s="120"/>
      <c r="N543" s="120"/>
      <c r="O543" s="455">
        <v>9307.18</v>
      </c>
      <c r="P543" s="106">
        <v>539910</v>
      </c>
      <c r="Q543" s="106" t="s">
        <v>56</v>
      </c>
      <c r="R543" s="106">
        <v>539910</v>
      </c>
      <c r="S543" s="106"/>
      <c r="T543" s="106" t="s">
        <v>47</v>
      </c>
      <c r="U543" s="92"/>
      <c r="V543" s="129"/>
      <c r="W543" s="129">
        <v>3770</v>
      </c>
      <c r="X543" s="129">
        <v>550</v>
      </c>
      <c r="Y543" s="106"/>
      <c r="Z543" s="106" t="s">
        <v>48</v>
      </c>
      <c r="AA543" s="129"/>
      <c r="AB543" s="106">
        <v>3000</v>
      </c>
      <c r="AC543" s="106"/>
      <c r="AD543" s="106"/>
      <c r="AE543" s="106"/>
      <c r="AF543" s="453"/>
      <c r="AG543" s="290">
        <v>42573</v>
      </c>
      <c r="AH543" s="129">
        <f>AJ543</f>
        <v>544230</v>
      </c>
      <c r="AI543" s="289">
        <f t="shared" si="178"/>
        <v>547230</v>
      </c>
      <c r="AJ543" s="289">
        <f t="shared" si="179"/>
        <v>544230</v>
      </c>
      <c r="AK543" s="289">
        <f t="shared" si="180"/>
        <v>3000</v>
      </c>
      <c r="AL543" s="350"/>
      <c r="AM543" s="133" t="s">
        <v>886</v>
      </c>
      <c r="AN543" s="246">
        <v>44868</v>
      </c>
      <c r="AO543" s="259"/>
      <c r="AP543" s="93"/>
      <c r="AQ543" s="93"/>
      <c r="AR543" s="93"/>
    </row>
    <row r="544" s="422" customFormat="1" customHeight="1" spans="1:44">
      <c r="A544" s="115" t="s">
        <v>2002</v>
      </c>
      <c r="B544" s="106" t="s">
        <v>2003</v>
      </c>
      <c r="C544" s="459" t="s">
        <v>2004</v>
      </c>
      <c r="D544" s="193" t="str">
        <f t="shared" si="171"/>
        <v>付东410728197811097532</v>
      </c>
      <c r="E544" s="106">
        <v>13598707222</v>
      </c>
      <c r="F544" s="453"/>
      <c r="G544" s="106">
        <v>3</v>
      </c>
      <c r="H544" s="106">
        <v>14</v>
      </c>
      <c r="I544" s="106"/>
      <c r="J544" s="106">
        <v>1413</v>
      </c>
      <c r="K544" s="106">
        <v>63.92</v>
      </c>
      <c r="L544" s="106">
        <v>20000</v>
      </c>
      <c r="M544" s="120"/>
      <c r="N544" s="120"/>
      <c r="O544" s="455">
        <v>9224.25</v>
      </c>
      <c r="P544" s="106">
        <v>589614</v>
      </c>
      <c r="Q544" s="106" t="s">
        <v>66</v>
      </c>
      <c r="R544" s="106">
        <v>295614</v>
      </c>
      <c r="S544" s="106"/>
      <c r="T544" s="106">
        <v>294000</v>
      </c>
      <c r="U544" s="92"/>
      <c r="V544" s="129"/>
      <c r="W544" s="129">
        <v>4154</v>
      </c>
      <c r="X544" s="129">
        <v>550</v>
      </c>
      <c r="Y544" s="106"/>
      <c r="Z544" s="106"/>
      <c r="AA544" s="129"/>
      <c r="AB544" s="106">
        <f>1900-X544</f>
        <v>1350</v>
      </c>
      <c r="AC544" s="106"/>
      <c r="AD544" s="106"/>
      <c r="AE544" s="106"/>
      <c r="AF544" s="453"/>
      <c r="AG544" s="290">
        <v>43092</v>
      </c>
      <c r="AH544" s="129">
        <f>AJ544</f>
        <v>300318</v>
      </c>
      <c r="AI544" s="289">
        <f t="shared" si="178"/>
        <v>301668</v>
      </c>
      <c r="AJ544" s="289">
        <f t="shared" si="179"/>
        <v>300318</v>
      </c>
      <c r="AK544" s="289">
        <f t="shared" si="180"/>
        <v>1350</v>
      </c>
      <c r="AL544" s="350"/>
      <c r="AM544" s="133" t="s">
        <v>886</v>
      </c>
      <c r="AN544" s="246">
        <v>44868</v>
      </c>
      <c r="AO544" s="259"/>
      <c r="AP544" s="93"/>
      <c r="AQ544" s="93"/>
      <c r="AR544" s="93"/>
    </row>
    <row r="545" s="422" customFormat="1" customHeight="1" spans="1:44">
      <c r="A545" s="115" t="s">
        <v>2005</v>
      </c>
      <c r="B545" s="106" t="s">
        <v>2006</v>
      </c>
      <c r="C545" s="459" t="s">
        <v>2007</v>
      </c>
      <c r="D545" s="193" t="str">
        <f t="shared" si="171"/>
        <v>邓文英632221197111180029</v>
      </c>
      <c r="E545" s="106">
        <v>15837168169</v>
      </c>
      <c r="F545" s="453"/>
      <c r="G545" s="106">
        <v>2</v>
      </c>
      <c r="H545" s="106">
        <v>7</v>
      </c>
      <c r="I545" s="106"/>
      <c r="J545" s="106">
        <v>709</v>
      </c>
      <c r="K545" s="106">
        <v>49.44</v>
      </c>
      <c r="L545" s="106">
        <v>30000</v>
      </c>
      <c r="M545" s="120"/>
      <c r="N545" s="120"/>
      <c r="O545" s="455">
        <v>8684.02</v>
      </c>
      <c r="P545" s="106">
        <v>429338</v>
      </c>
      <c r="Q545" s="106" t="s">
        <v>56</v>
      </c>
      <c r="R545" s="106">
        <v>429338</v>
      </c>
      <c r="S545" s="106"/>
      <c r="T545" s="106">
        <v>0</v>
      </c>
      <c r="U545" s="92"/>
      <c r="V545" s="129"/>
      <c r="W545" s="129">
        <v>3213</v>
      </c>
      <c r="X545" s="129">
        <v>550</v>
      </c>
      <c r="Y545" s="106"/>
      <c r="Z545" s="106" t="s">
        <v>48</v>
      </c>
      <c r="AA545" s="129"/>
      <c r="AB545" s="106"/>
      <c r="AC545" s="106"/>
      <c r="AD545" s="106"/>
      <c r="AE545" s="106"/>
      <c r="AF545" s="453"/>
      <c r="AG545" s="290">
        <v>42388</v>
      </c>
      <c r="AH545" s="129">
        <v>391215</v>
      </c>
      <c r="AI545" s="289">
        <f t="shared" ref="AI545:AI555" si="181">R545+V545+W545+X545+AA545+AB545+AC545+AD545</f>
        <v>433101</v>
      </c>
      <c r="AJ545" s="289">
        <f t="shared" si="179"/>
        <v>433101</v>
      </c>
      <c r="AK545" s="289">
        <f t="shared" ref="AK545:AK555" si="182">AI545-AJ545</f>
        <v>0</v>
      </c>
      <c r="AL545" s="350" t="s">
        <v>2008</v>
      </c>
      <c r="AM545" s="133" t="s">
        <v>886</v>
      </c>
      <c r="AN545" s="246">
        <v>44868</v>
      </c>
      <c r="AO545" s="259"/>
      <c r="AP545" s="93"/>
      <c r="AQ545" s="93"/>
      <c r="AR545" s="93"/>
    </row>
    <row r="546" s="422" customFormat="1" customHeight="1" spans="1:44">
      <c r="A546" s="115" t="s">
        <v>2009</v>
      </c>
      <c r="B546" s="106" t="s">
        <v>2006</v>
      </c>
      <c r="C546" s="459" t="s">
        <v>2007</v>
      </c>
      <c r="D546" s="193" t="str">
        <f t="shared" si="171"/>
        <v>邓文英632221197111180029</v>
      </c>
      <c r="E546" s="106">
        <v>15837168169</v>
      </c>
      <c r="F546" s="453"/>
      <c r="G546" s="106">
        <v>2</v>
      </c>
      <c r="H546" s="106">
        <v>7</v>
      </c>
      <c r="I546" s="106"/>
      <c r="J546" s="106">
        <v>708</v>
      </c>
      <c r="K546" s="106">
        <v>49.44</v>
      </c>
      <c r="L546" s="106">
        <v>30000</v>
      </c>
      <c r="M546" s="120"/>
      <c r="N546" s="120"/>
      <c r="O546" s="455">
        <v>8684.02</v>
      </c>
      <c r="P546" s="106">
        <v>429338</v>
      </c>
      <c r="Q546" s="106" t="s">
        <v>56</v>
      </c>
      <c r="R546" s="106">
        <v>429338</v>
      </c>
      <c r="S546" s="106"/>
      <c r="T546" s="106">
        <v>0</v>
      </c>
      <c r="U546" s="92"/>
      <c r="V546" s="129"/>
      <c r="W546" s="129">
        <v>3213</v>
      </c>
      <c r="X546" s="129">
        <v>550</v>
      </c>
      <c r="Y546" s="106"/>
      <c r="Z546" s="106" t="s">
        <v>48</v>
      </c>
      <c r="AA546" s="129"/>
      <c r="AB546" s="106"/>
      <c r="AC546" s="106"/>
      <c r="AD546" s="106"/>
      <c r="AE546" s="106"/>
      <c r="AF546" s="453"/>
      <c r="AG546" s="290">
        <v>42388</v>
      </c>
      <c r="AH546" s="129">
        <v>391215</v>
      </c>
      <c r="AI546" s="289">
        <f t="shared" si="181"/>
        <v>433101</v>
      </c>
      <c r="AJ546" s="289">
        <f t="shared" si="179"/>
        <v>433101</v>
      </c>
      <c r="AK546" s="289">
        <f t="shared" si="182"/>
        <v>0</v>
      </c>
      <c r="AL546" s="350" t="s">
        <v>2008</v>
      </c>
      <c r="AM546" s="133" t="s">
        <v>886</v>
      </c>
      <c r="AN546" s="246">
        <v>44868</v>
      </c>
      <c r="AO546" s="259"/>
      <c r="AP546" s="93"/>
      <c r="AQ546" s="93"/>
      <c r="AR546" s="93"/>
    </row>
    <row r="547" s="422" customFormat="1" customHeight="1" spans="1:44">
      <c r="A547" s="115" t="s">
        <v>2010</v>
      </c>
      <c r="B547" s="106" t="s">
        <v>2011</v>
      </c>
      <c r="C547" s="459" t="s">
        <v>2012</v>
      </c>
      <c r="D547" s="193" t="str">
        <f t="shared" si="171"/>
        <v>王佳琦410305198203014025</v>
      </c>
      <c r="E547" s="106">
        <v>18638033078</v>
      </c>
      <c r="F547" s="453"/>
      <c r="G547" s="106">
        <v>9</v>
      </c>
      <c r="H547" s="106">
        <v>3</v>
      </c>
      <c r="I547" s="106">
        <v>10</v>
      </c>
      <c r="J547" s="106">
        <v>1001</v>
      </c>
      <c r="K547" s="106">
        <v>93.4</v>
      </c>
      <c r="L547" s="106">
        <v>8710</v>
      </c>
      <c r="M547" s="120"/>
      <c r="N547" s="120"/>
      <c r="O547" s="455">
        <v>8609.61</v>
      </c>
      <c r="P547" s="106">
        <v>804138</v>
      </c>
      <c r="Q547" s="106" t="s">
        <v>66</v>
      </c>
      <c r="R547" s="106">
        <v>250000</v>
      </c>
      <c r="S547" s="106"/>
      <c r="T547" s="106">
        <v>554138</v>
      </c>
      <c r="U547" s="92"/>
      <c r="V547" s="129"/>
      <c r="W547" s="129"/>
      <c r="X547" s="129"/>
      <c r="Y547" s="106"/>
      <c r="Z547" s="106"/>
      <c r="AA547" s="129"/>
      <c r="AB547" s="106"/>
      <c r="AC547" s="106"/>
      <c r="AD547" s="106"/>
      <c r="AE547" s="106"/>
      <c r="AF547" s="453"/>
      <c r="AG547" s="290">
        <v>42227</v>
      </c>
      <c r="AH547" s="129">
        <v>250000</v>
      </c>
      <c r="AI547" s="289">
        <f t="shared" si="181"/>
        <v>250000</v>
      </c>
      <c r="AJ547" s="289">
        <f t="shared" si="179"/>
        <v>250000</v>
      </c>
      <c r="AK547" s="289">
        <f t="shared" si="182"/>
        <v>0</v>
      </c>
      <c r="AL547" s="350" t="s">
        <v>2013</v>
      </c>
      <c r="AM547" s="133" t="s">
        <v>886</v>
      </c>
      <c r="AN547" s="246">
        <v>44868</v>
      </c>
      <c r="AO547" s="259"/>
      <c r="AP547" s="93"/>
      <c r="AQ547" s="93"/>
      <c r="AR547" s="93"/>
    </row>
    <row r="548" s="422" customFormat="1" customHeight="1" spans="1:44">
      <c r="A548" s="115" t="s">
        <v>2014</v>
      </c>
      <c r="B548" s="106" t="s">
        <v>2015</v>
      </c>
      <c r="C548" s="459" t="s">
        <v>2016</v>
      </c>
      <c r="D548" s="193" t="str">
        <f t="shared" si="171"/>
        <v>李芬412323197004240062</v>
      </c>
      <c r="E548" s="106">
        <v>18625584382</v>
      </c>
      <c r="F548" s="453"/>
      <c r="G548" s="106">
        <v>3</v>
      </c>
      <c r="H548" s="106">
        <v>9</v>
      </c>
      <c r="I548" s="106"/>
      <c r="J548" s="106">
        <v>901</v>
      </c>
      <c r="K548" s="106">
        <v>68.05</v>
      </c>
      <c r="L548" s="106">
        <v>20000</v>
      </c>
      <c r="M548" s="120"/>
      <c r="N548" s="120"/>
      <c r="O548" s="455">
        <v>8716.71</v>
      </c>
      <c r="P548" s="106">
        <v>593172</v>
      </c>
      <c r="Q548" s="106" t="s">
        <v>66</v>
      </c>
      <c r="R548" s="106">
        <v>303172</v>
      </c>
      <c r="S548" s="106"/>
      <c r="T548" s="106">
        <v>290000</v>
      </c>
      <c r="U548" s="92"/>
      <c r="V548" s="129"/>
      <c r="W548" s="129">
        <v>4423</v>
      </c>
      <c r="X548" s="129">
        <v>550</v>
      </c>
      <c r="Y548" s="106"/>
      <c r="Z548" s="106" t="s">
        <v>48</v>
      </c>
      <c r="AA548" s="129"/>
      <c r="AB548" s="106"/>
      <c r="AC548" s="106"/>
      <c r="AD548" s="106"/>
      <c r="AE548" s="106"/>
      <c r="AF548" s="453"/>
      <c r="AG548" s="290"/>
      <c r="AH548" s="129"/>
      <c r="AI548" s="289">
        <f t="shared" si="181"/>
        <v>308145</v>
      </c>
      <c r="AJ548" s="472"/>
      <c r="AK548" s="289">
        <f t="shared" si="182"/>
        <v>308145</v>
      </c>
      <c r="AL548" s="350" t="s">
        <v>2017</v>
      </c>
      <c r="AM548" s="133" t="s">
        <v>886</v>
      </c>
      <c r="AN548" s="246">
        <v>44868</v>
      </c>
      <c r="AO548" s="259"/>
      <c r="AP548" s="93"/>
      <c r="AQ548" s="93"/>
      <c r="AR548" s="93"/>
    </row>
    <row r="549" s="422" customFormat="1" customHeight="1" spans="1:44">
      <c r="A549" s="115" t="s">
        <v>2018</v>
      </c>
      <c r="B549" s="106" t="s">
        <v>2015</v>
      </c>
      <c r="C549" s="459" t="s">
        <v>2016</v>
      </c>
      <c r="D549" s="193" t="str">
        <f t="shared" si="171"/>
        <v>李芬412323197004240062</v>
      </c>
      <c r="E549" s="106">
        <v>18625584382</v>
      </c>
      <c r="F549" s="453"/>
      <c r="G549" s="106">
        <v>3</v>
      </c>
      <c r="H549" s="106">
        <v>9</v>
      </c>
      <c r="I549" s="106"/>
      <c r="J549" s="106">
        <v>935</v>
      </c>
      <c r="K549" s="106">
        <v>55.18</v>
      </c>
      <c r="L549" s="106">
        <v>20000</v>
      </c>
      <c r="M549" s="120"/>
      <c r="N549" s="120"/>
      <c r="O549" s="455">
        <v>9413.08</v>
      </c>
      <c r="P549" s="106">
        <v>519414</v>
      </c>
      <c r="Q549" s="106" t="s">
        <v>66</v>
      </c>
      <c r="R549" s="106">
        <v>269414</v>
      </c>
      <c r="S549" s="106"/>
      <c r="T549" s="106">
        <v>250000</v>
      </c>
      <c r="U549" s="92"/>
      <c r="V549" s="129"/>
      <c r="W549" s="129">
        <v>3586</v>
      </c>
      <c r="X549" s="129">
        <v>550</v>
      </c>
      <c r="Y549" s="106"/>
      <c r="Z549" s="106"/>
      <c r="AA549" s="129"/>
      <c r="AB549" s="106"/>
      <c r="AC549" s="106"/>
      <c r="AD549" s="106"/>
      <c r="AE549" s="106"/>
      <c r="AF549" s="453"/>
      <c r="AG549" s="290"/>
      <c r="AH549" s="129"/>
      <c r="AI549" s="289">
        <f t="shared" si="181"/>
        <v>273550</v>
      </c>
      <c r="AJ549" s="472"/>
      <c r="AK549" s="289">
        <f t="shared" si="182"/>
        <v>273550</v>
      </c>
      <c r="AL549" s="350" t="s">
        <v>2017</v>
      </c>
      <c r="AM549" s="133" t="s">
        <v>886</v>
      </c>
      <c r="AN549" s="246">
        <v>44868</v>
      </c>
      <c r="AO549" s="259"/>
      <c r="AP549" s="93"/>
      <c r="AQ549" s="93"/>
      <c r="AR549" s="93"/>
    </row>
    <row r="550" s="422" customFormat="1" customHeight="1" spans="1:44">
      <c r="A550" s="115" t="s">
        <v>2019</v>
      </c>
      <c r="B550" s="106" t="s">
        <v>2015</v>
      </c>
      <c r="C550" s="459" t="s">
        <v>2016</v>
      </c>
      <c r="D550" s="193" t="str">
        <f t="shared" si="171"/>
        <v>李芬412323197004240062</v>
      </c>
      <c r="E550" s="106">
        <v>18625584382</v>
      </c>
      <c r="F550" s="453"/>
      <c r="G550" s="106">
        <v>3</v>
      </c>
      <c r="H550" s="106">
        <v>9</v>
      </c>
      <c r="I550" s="106"/>
      <c r="J550" s="106">
        <v>902</v>
      </c>
      <c r="K550" s="106">
        <v>47.59</v>
      </c>
      <c r="L550" s="106">
        <v>20000</v>
      </c>
      <c r="M550" s="120"/>
      <c r="N550" s="120"/>
      <c r="O550" s="455">
        <v>9637.42</v>
      </c>
      <c r="P550" s="106">
        <v>458645</v>
      </c>
      <c r="Q550" s="106" t="s">
        <v>66</v>
      </c>
      <c r="R550" s="106">
        <v>238645</v>
      </c>
      <c r="S550" s="106"/>
      <c r="T550" s="106">
        <v>220000</v>
      </c>
      <c r="U550" s="92"/>
      <c r="V550" s="129"/>
      <c r="W550" s="129">
        <v>3093</v>
      </c>
      <c r="X550" s="129">
        <v>550</v>
      </c>
      <c r="Y550" s="106"/>
      <c r="Z550" s="106"/>
      <c r="AA550" s="129"/>
      <c r="AB550" s="106"/>
      <c r="AC550" s="106"/>
      <c r="AD550" s="106"/>
      <c r="AE550" s="106"/>
      <c r="AF550" s="453"/>
      <c r="AG550" s="290"/>
      <c r="AH550" s="129"/>
      <c r="AI550" s="289">
        <f t="shared" si="181"/>
        <v>242288</v>
      </c>
      <c r="AJ550" s="472"/>
      <c r="AK550" s="289">
        <f t="shared" si="182"/>
        <v>242288</v>
      </c>
      <c r="AL550" s="350" t="s">
        <v>2017</v>
      </c>
      <c r="AM550" s="133" t="s">
        <v>886</v>
      </c>
      <c r="AN550" s="246">
        <v>44868</v>
      </c>
      <c r="AO550" s="259"/>
      <c r="AP550" s="93"/>
      <c r="AQ550" s="93"/>
      <c r="AR550" s="93"/>
    </row>
    <row r="551" s="422" customFormat="1" customHeight="1" spans="1:44">
      <c r="A551" s="115" t="s">
        <v>2020</v>
      </c>
      <c r="B551" s="106" t="s">
        <v>2015</v>
      </c>
      <c r="C551" s="459" t="s">
        <v>2016</v>
      </c>
      <c r="D551" s="193" t="str">
        <f t="shared" si="171"/>
        <v>李芬412323197004240062</v>
      </c>
      <c r="E551" s="106">
        <v>18625584382</v>
      </c>
      <c r="F551" s="453"/>
      <c r="G551" s="106">
        <v>3</v>
      </c>
      <c r="H551" s="106">
        <v>9</v>
      </c>
      <c r="I551" s="106"/>
      <c r="J551" s="106">
        <v>903</v>
      </c>
      <c r="K551" s="106">
        <v>52.4</v>
      </c>
      <c r="L551" s="106">
        <v>20000</v>
      </c>
      <c r="M551" s="120"/>
      <c r="N551" s="120"/>
      <c r="O551" s="455">
        <v>9093.34</v>
      </c>
      <c r="P551" s="106">
        <v>476491</v>
      </c>
      <c r="Q551" s="106" t="s">
        <v>66</v>
      </c>
      <c r="R551" s="106">
        <v>246491</v>
      </c>
      <c r="S551" s="106"/>
      <c r="T551" s="106">
        <v>230000</v>
      </c>
      <c r="U551" s="92"/>
      <c r="V551" s="129"/>
      <c r="W551" s="129">
        <v>3406</v>
      </c>
      <c r="X551" s="129">
        <v>550</v>
      </c>
      <c r="Y551" s="106"/>
      <c r="Z551" s="106"/>
      <c r="AA551" s="129"/>
      <c r="AB551" s="106"/>
      <c r="AC551" s="106"/>
      <c r="AD551" s="106"/>
      <c r="AE551" s="106"/>
      <c r="AF551" s="453"/>
      <c r="AG551" s="290"/>
      <c r="AH551" s="129"/>
      <c r="AI551" s="289">
        <f t="shared" si="181"/>
        <v>250447</v>
      </c>
      <c r="AJ551" s="472"/>
      <c r="AK551" s="289">
        <f t="shared" si="182"/>
        <v>250447</v>
      </c>
      <c r="AL551" s="350" t="s">
        <v>2017</v>
      </c>
      <c r="AM551" s="133" t="s">
        <v>886</v>
      </c>
      <c r="AN551" s="246">
        <v>44868</v>
      </c>
      <c r="AO551" s="259"/>
      <c r="AP551" s="93"/>
      <c r="AQ551" s="93"/>
      <c r="AR551" s="93"/>
    </row>
    <row r="552" s="422" customFormat="1" customHeight="1" spans="1:44">
      <c r="A552" s="115" t="s">
        <v>2021</v>
      </c>
      <c r="B552" s="106" t="s">
        <v>2015</v>
      </c>
      <c r="C552" s="459" t="s">
        <v>2016</v>
      </c>
      <c r="D552" s="193" t="str">
        <f t="shared" si="171"/>
        <v>李芬412323197004240062</v>
      </c>
      <c r="E552" s="106">
        <v>18625584382</v>
      </c>
      <c r="F552" s="453"/>
      <c r="G552" s="106">
        <v>3</v>
      </c>
      <c r="H552" s="106">
        <v>9</v>
      </c>
      <c r="I552" s="106"/>
      <c r="J552" s="106">
        <v>904</v>
      </c>
      <c r="K552" s="106">
        <v>56.57</v>
      </c>
      <c r="L552" s="106">
        <v>20000</v>
      </c>
      <c r="M552" s="120"/>
      <c r="N552" s="120"/>
      <c r="O552" s="455">
        <v>9035.7</v>
      </c>
      <c r="P552" s="106">
        <v>511150</v>
      </c>
      <c r="Q552" s="106" t="s">
        <v>66</v>
      </c>
      <c r="R552" s="106">
        <v>261150</v>
      </c>
      <c r="S552" s="106"/>
      <c r="T552" s="106">
        <v>250000</v>
      </c>
      <c r="U552" s="106"/>
      <c r="V552" s="129"/>
      <c r="W552" s="129">
        <v>3677</v>
      </c>
      <c r="X552" s="129">
        <v>550</v>
      </c>
      <c r="Y552" s="106"/>
      <c r="Z552" s="106"/>
      <c r="AA552" s="129"/>
      <c r="AB552" s="106"/>
      <c r="AC552" s="106"/>
      <c r="AD552" s="106"/>
      <c r="AE552" s="106"/>
      <c r="AF552" s="453"/>
      <c r="AG552" s="290"/>
      <c r="AH552" s="129"/>
      <c r="AI552" s="289">
        <f t="shared" si="181"/>
        <v>265377</v>
      </c>
      <c r="AJ552" s="472"/>
      <c r="AK552" s="289">
        <f t="shared" si="182"/>
        <v>265377</v>
      </c>
      <c r="AL552" s="350" t="s">
        <v>2017</v>
      </c>
      <c r="AM552" s="133" t="s">
        <v>886</v>
      </c>
      <c r="AN552" s="246">
        <v>44868</v>
      </c>
      <c r="AO552" s="259"/>
      <c r="AP552" s="93"/>
      <c r="AQ552" s="93"/>
      <c r="AR552" s="93"/>
    </row>
    <row r="553" s="422" customFormat="1" customHeight="1" spans="1:44">
      <c r="A553" s="115" t="s">
        <v>2022</v>
      </c>
      <c r="B553" s="106" t="s">
        <v>2015</v>
      </c>
      <c r="C553" s="459" t="s">
        <v>2016</v>
      </c>
      <c r="D553" s="193" t="str">
        <f t="shared" si="171"/>
        <v>李芬412323197004240062</v>
      </c>
      <c r="E553" s="106">
        <v>18625584382</v>
      </c>
      <c r="F553" s="453"/>
      <c r="G553" s="106">
        <v>3</v>
      </c>
      <c r="H553" s="106">
        <v>9</v>
      </c>
      <c r="I553" s="106"/>
      <c r="J553" s="106">
        <v>905</v>
      </c>
      <c r="K553" s="106">
        <v>59.91</v>
      </c>
      <c r="L553" s="106">
        <v>20000</v>
      </c>
      <c r="M553" s="120"/>
      <c r="N553" s="120"/>
      <c r="O553" s="455">
        <v>8988.63</v>
      </c>
      <c r="P553" s="106">
        <v>538509</v>
      </c>
      <c r="Q553" s="106" t="s">
        <v>66</v>
      </c>
      <c r="R553" s="106">
        <v>278509</v>
      </c>
      <c r="S553" s="92"/>
      <c r="T553" s="106">
        <v>260000</v>
      </c>
      <c r="U553" s="106"/>
      <c r="V553" s="129"/>
      <c r="W553" s="129">
        <v>3894</v>
      </c>
      <c r="X553" s="129">
        <v>550</v>
      </c>
      <c r="Y553" s="106"/>
      <c r="Z553" s="106"/>
      <c r="AA553" s="129"/>
      <c r="AB553" s="106"/>
      <c r="AC553" s="106"/>
      <c r="AD553" s="106"/>
      <c r="AE553" s="106"/>
      <c r="AF553" s="453"/>
      <c r="AG553" s="290"/>
      <c r="AH553" s="129"/>
      <c r="AI553" s="289">
        <f t="shared" ref="AI553:AI570" si="183">R553+V553+W553+X553+AA553+AB553+AC553+AD553</f>
        <v>282953</v>
      </c>
      <c r="AJ553" s="472"/>
      <c r="AK553" s="289">
        <f t="shared" ref="AK553:AK570" si="184">AI553-AJ553</f>
        <v>282953</v>
      </c>
      <c r="AL553" s="350" t="s">
        <v>2017</v>
      </c>
      <c r="AM553" s="133" t="s">
        <v>886</v>
      </c>
      <c r="AN553" s="246">
        <v>44868</v>
      </c>
      <c r="AO553" s="259"/>
      <c r="AP553" s="93"/>
      <c r="AQ553" s="93"/>
      <c r="AR553" s="93"/>
    </row>
    <row r="554" s="422" customFormat="1" customHeight="1" spans="1:44">
      <c r="A554" s="115" t="s">
        <v>2023</v>
      </c>
      <c r="B554" s="106" t="s">
        <v>2015</v>
      </c>
      <c r="C554" s="459" t="s">
        <v>2016</v>
      </c>
      <c r="D554" s="193" t="str">
        <f t="shared" si="171"/>
        <v>李芬412323197004240062</v>
      </c>
      <c r="E554" s="106">
        <v>18625584382</v>
      </c>
      <c r="F554" s="453"/>
      <c r="G554" s="106">
        <v>3</v>
      </c>
      <c r="H554" s="106">
        <v>9</v>
      </c>
      <c r="I554" s="106"/>
      <c r="J554" s="106">
        <v>931</v>
      </c>
      <c r="K554" s="106">
        <v>56.44</v>
      </c>
      <c r="L554" s="106">
        <v>20000</v>
      </c>
      <c r="M554" s="120"/>
      <c r="N554" s="120"/>
      <c r="O554" s="455">
        <v>8254.57</v>
      </c>
      <c r="P554" s="106">
        <v>465888</v>
      </c>
      <c r="Q554" s="106" t="s">
        <v>66</v>
      </c>
      <c r="R554" s="106">
        <v>235888</v>
      </c>
      <c r="S554" s="106"/>
      <c r="T554" s="106">
        <v>230000</v>
      </c>
      <c r="U554" s="106"/>
      <c r="V554" s="129"/>
      <c r="W554" s="129">
        <v>3668</v>
      </c>
      <c r="X554" s="129">
        <v>550</v>
      </c>
      <c r="Y554" s="106"/>
      <c r="Z554" s="106"/>
      <c r="AA554" s="129"/>
      <c r="AB554" s="106"/>
      <c r="AC554" s="106"/>
      <c r="AD554" s="106"/>
      <c r="AE554" s="106"/>
      <c r="AF554" s="453"/>
      <c r="AG554" s="290"/>
      <c r="AH554" s="129"/>
      <c r="AI554" s="289">
        <f t="shared" si="183"/>
        <v>240106</v>
      </c>
      <c r="AJ554" s="472"/>
      <c r="AK554" s="289">
        <f t="shared" si="184"/>
        <v>240106</v>
      </c>
      <c r="AL554" s="350" t="s">
        <v>2017</v>
      </c>
      <c r="AM554" s="133" t="s">
        <v>886</v>
      </c>
      <c r="AN554" s="246">
        <v>44868</v>
      </c>
      <c r="AO554" s="259"/>
      <c r="AP554" s="93"/>
      <c r="AQ554" s="93"/>
      <c r="AR554" s="93"/>
    </row>
    <row r="555" s="422" customFormat="1" customHeight="1" spans="1:44">
      <c r="A555" s="115" t="s">
        <v>2024</v>
      </c>
      <c r="B555" s="106" t="s">
        <v>2015</v>
      </c>
      <c r="C555" s="459" t="s">
        <v>2016</v>
      </c>
      <c r="D555" s="193" t="str">
        <f t="shared" si="171"/>
        <v>李芬412323197004240062</v>
      </c>
      <c r="E555" s="106">
        <v>18625584382</v>
      </c>
      <c r="F555" s="453"/>
      <c r="G555" s="106">
        <v>3</v>
      </c>
      <c r="H555" s="106">
        <v>9</v>
      </c>
      <c r="I555" s="106"/>
      <c r="J555" s="106">
        <v>932</v>
      </c>
      <c r="K555" s="106">
        <v>55.78</v>
      </c>
      <c r="L555" s="106">
        <v>20000</v>
      </c>
      <c r="M555" s="120"/>
      <c r="N555" s="120"/>
      <c r="O555" s="455">
        <v>9460.67</v>
      </c>
      <c r="P555" s="106">
        <v>527716</v>
      </c>
      <c r="Q555" s="106" t="s">
        <v>66</v>
      </c>
      <c r="R555" s="106">
        <v>267716</v>
      </c>
      <c r="S555" s="106"/>
      <c r="T555" s="106">
        <v>260000</v>
      </c>
      <c r="U555" s="92"/>
      <c r="V555" s="129"/>
      <c r="W555" s="129">
        <v>3625</v>
      </c>
      <c r="X555" s="129">
        <v>550</v>
      </c>
      <c r="Y555" s="106"/>
      <c r="Z555" s="106"/>
      <c r="AA555" s="129"/>
      <c r="AB555" s="106"/>
      <c r="AC555" s="106"/>
      <c r="AD555" s="106"/>
      <c r="AE555" s="106"/>
      <c r="AF555" s="453"/>
      <c r="AG555" s="290"/>
      <c r="AH555" s="129"/>
      <c r="AI555" s="289">
        <f t="shared" si="183"/>
        <v>271891</v>
      </c>
      <c r="AJ555" s="472"/>
      <c r="AK555" s="289">
        <f t="shared" si="184"/>
        <v>271891</v>
      </c>
      <c r="AL555" s="350" t="s">
        <v>2017</v>
      </c>
      <c r="AM555" s="133" t="s">
        <v>886</v>
      </c>
      <c r="AN555" s="246">
        <v>44868</v>
      </c>
      <c r="AO555" s="259"/>
      <c r="AP555" s="93"/>
      <c r="AQ555" s="93"/>
      <c r="AR555" s="93"/>
    </row>
    <row r="556" s="422" customFormat="1" customHeight="1" spans="1:44">
      <c r="A556" s="115" t="s">
        <v>2025</v>
      </c>
      <c r="B556" s="106" t="s">
        <v>2015</v>
      </c>
      <c r="C556" s="459" t="s">
        <v>2016</v>
      </c>
      <c r="D556" s="193" t="str">
        <f t="shared" si="171"/>
        <v>李芬412323197004240062</v>
      </c>
      <c r="E556" s="106">
        <v>18625584382</v>
      </c>
      <c r="F556" s="453"/>
      <c r="G556" s="106">
        <v>3</v>
      </c>
      <c r="H556" s="106">
        <v>9</v>
      </c>
      <c r="I556" s="106"/>
      <c r="J556" s="106">
        <v>933</v>
      </c>
      <c r="K556" s="106">
        <v>55.05</v>
      </c>
      <c r="L556" s="106">
        <v>20000</v>
      </c>
      <c r="M556" s="120"/>
      <c r="N556" s="120"/>
      <c r="O556" s="455">
        <v>9508.57</v>
      </c>
      <c r="P556" s="106">
        <v>523447</v>
      </c>
      <c r="Q556" s="106" t="s">
        <v>66</v>
      </c>
      <c r="R556" s="106">
        <v>263447</v>
      </c>
      <c r="S556" s="106"/>
      <c r="T556" s="106">
        <v>260000</v>
      </c>
      <c r="U556" s="106"/>
      <c r="V556" s="129"/>
      <c r="W556" s="129">
        <v>3578</v>
      </c>
      <c r="X556" s="129">
        <v>550</v>
      </c>
      <c r="Y556" s="106"/>
      <c r="Z556" s="106"/>
      <c r="AA556" s="129"/>
      <c r="AB556" s="106"/>
      <c r="AC556" s="106"/>
      <c r="AD556" s="106"/>
      <c r="AE556" s="106"/>
      <c r="AF556" s="453"/>
      <c r="AG556" s="290"/>
      <c r="AH556" s="129"/>
      <c r="AI556" s="289">
        <f t="shared" si="183"/>
        <v>267575</v>
      </c>
      <c r="AJ556" s="472"/>
      <c r="AK556" s="289">
        <f t="shared" si="184"/>
        <v>267575</v>
      </c>
      <c r="AL556" s="350" t="s">
        <v>2017</v>
      </c>
      <c r="AM556" s="133" t="s">
        <v>886</v>
      </c>
      <c r="AN556" s="246">
        <v>44868</v>
      </c>
      <c r="AO556" s="259"/>
      <c r="AP556" s="93"/>
      <c r="AQ556" s="93"/>
      <c r="AR556" s="93"/>
    </row>
    <row r="557" s="422" customFormat="1" customHeight="1" spans="1:44">
      <c r="A557" s="115" t="s">
        <v>2026</v>
      </c>
      <c r="B557" s="106" t="s">
        <v>2015</v>
      </c>
      <c r="C557" s="459" t="s">
        <v>2016</v>
      </c>
      <c r="D557" s="193" t="str">
        <f t="shared" si="171"/>
        <v>李芬412323197004240062</v>
      </c>
      <c r="E557" s="106">
        <v>18625584382</v>
      </c>
      <c r="F557" s="453"/>
      <c r="G557" s="106">
        <v>3</v>
      </c>
      <c r="H557" s="106">
        <v>9</v>
      </c>
      <c r="I557" s="106"/>
      <c r="J557" s="106">
        <v>934</v>
      </c>
      <c r="K557" s="106">
        <v>55.51</v>
      </c>
      <c r="L557" s="106">
        <v>20000</v>
      </c>
      <c r="M557" s="120"/>
      <c r="N557" s="120"/>
      <c r="O557" s="455">
        <v>9508.58</v>
      </c>
      <c r="P557" s="106">
        <v>527821</v>
      </c>
      <c r="Q557" s="106" t="s">
        <v>66</v>
      </c>
      <c r="R557" s="106">
        <v>267821</v>
      </c>
      <c r="S557" s="106"/>
      <c r="T557" s="106">
        <v>260000</v>
      </c>
      <c r="U557" s="106"/>
      <c r="V557" s="129"/>
      <c r="W557" s="129">
        <v>3608</v>
      </c>
      <c r="X557" s="129">
        <v>550</v>
      </c>
      <c r="Y557" s="106"/>
      <c r="Z557" s="106"/>
      <c r="AA557" s="129"/>
      <c r="AB557" s="106"/>
      <c r="AC557" s="106"/>
      <c r="AD557" s="106"/>
      <c r="AE557" s="106"/>
      <c r="AF557" s="453"/>
      <c r="AG557" s="290"/>
      <c r="AH557" s="129"/>
      <c r="AI557" s="289">
        <f t="shared" si="183"/>
        <v>271979</v>
      </c>
      <c r="AJ557" s="472"/>
      <c r="AK557" s="289">
        <f t="shared" si="184"/>
        <v>271979</v>
      </c>
      <c r="AL557" s="350" t="s">
        <v>2017</v>
      </c>
      <c r="AM557" s="133" t="s">
        <v>886</v>
      </c>
      <c r="AN557" s="246">
        <v>44868</v>
      </c>
      <c r="AO557" s="259"/>
      <c r="AP557" s="93"/>
      <c r="AQ557" s="93"/>
      <c r="AR557" s="93"/>
    </row>
    <row r="558" s="422" customFormat="1" customHeight="1" spans="1:41">
      <c r="A558" s="115" t="s">
        <v>2027</v>
      </c>
      <c r="B558" s="106" t="s">
        <v>2028</v>
      </c>
      <c r="C558" s="459" t="s">
        <v>2029</v>
      </c>
      <c r="D558" s="193" t="str">
        <f t="shared" si="171"/>
        <v>辛子星41270219930910743X</v>
      </c>
      <c r="E558" s="106" t="s">
        <v>2030</v>
      </c>
      <c r="F558" s="453"/>
      <c r="G558" s="106">
        <v>3</v>
      </c>
      <c r="H558" s="106">
        <v>11</v>
      </c>
      <c r="I558" s="106"/>
      <c r="J558" s="106">
        <v>1131</v>
      </c>
      <c r="K558" s="106">
        <v>56.44</v>
      </c>
      <c r="L558" s="106">
        <v>20000</v>
      </c>
      <c r="M558" s="120"/>
      <c r="N558" s="120"/>
      <c r="O558" s="455">
        <v>8743.37</v>
      </c>
      <c r="P558" s="106">
        <v>493476</v>
      </c>
      <c r="Q558" s="106" t="s">
        <v>66</v>
      </c>
      <c r="R558" s="106">
        <v>253476</v>
      </c>
      <c r="S558" s="106"/>
      <c r="T558" s="106">
        <v>240000</v>
      </c>
      <c r="U558" s="106"/>
      <c r="V558" s="129"/>
      <c r="W558" s="129">
        <v>3668</v>
      </c>
      <c r="X558" s="129">
        <v>550</v>
      </c>
      <c r="Y558" s="106"/>
      <c r="Z558" s="106" t="s">
        <v>48</v>
      </c>
      <c r="AA558" s="129"/>
      <c r="AB558" s="106"/>
      <c r="AC558" s="106"/>
      <c r="AD558" s="106"/>
      <c r="AE558" s="106"/>
      <c r="AF558" s="453"/>
      <c r="AG558" s="290">
        <v>43092</v>
      </c>
      <c r="AH558" s="129"/>
      <c r="AI558" s="289">
        <f t="shared" si="183"/>
        <v>257694</v>
      </c>
      <c r="AJ558" s="289">
        <f t="shared" ref="AJ558:AJ568" si="185">R558+W558+V558+X558+AA558</f>
        <v>257694</v>
      </c>
      <c r="AK558" s="289">
        <f t="shared" si="184"/>
        <v>0</v>
      </c>
      <c r="AL558" s="350"/>
      <c r="AM558" s="133" t="s">
        <v>886</v>
      </c>
      <c r="AN558" s="246">
        <v>44868</v>
      </c>
      <c r="AO558" s="288"/>
    </row>
    <row r="559" s="422" customFormat="1" customHeight="1" spans="1:41">
      <c r="A559" s="115" t="s">
        <v>2031</v>
      </c>
      <c r="B559" s="115" t="s">
        <v>2032</v>
      </c>
      <c r="C559" s="403" t="s">
        <v>2033</v>
      </c>
      <c r="D559" s="193" t="str">
        <f t="shared" si="171"/>
        <v>邢志敏410526197206099085</v>
      </c>
      <c r="E559" s="155">
        <v>15083087666</v>
      </c>
      <c r="F559" s="115" t="s">
        <v>2034</v>
      </c>
      <c r="G559" s="239">
        <v>6</v>
      </c>
      <c r="H559" s="115"/>
      <c r="I559" s="115"/>
      <c r="J559" s="115">
        <v>1508</v>
      </c>
      <c r="K559" s="115">
        <v>109.13</v>
      </c>
      <c r="L559" s="115"/>
      <c r="M559" s="115"/>
      <c r="N559" s="115"/>
      <c r="O559" s="431">
        <v>19000</v>
      </c>
      <c r="P559" s="239">
        <v>2073470</v>
      </c>
      <c r="Q559" s="464" t="s">
        <v>56</v>
      </c>
      <c r="R559" s="405">
        <v>2073470</v>
      </c>
      <c r="S559" s="464"/>
      <c r="T559" s="464"/>
      <c r="U559" s="464"/>
      <c r="V559" s="83"/>
      <c r="W559" s="83"/>
      <c r="X559" s="83"/>
      <c r="Y559" s="83"/>
      <c r="Z559" s="83"/>
      <c r="AA559" s="294"/>
      <c r="AB559" s="83"/>
      <c r="AC559" s="83"/>
      <c r="AD559" s="83"/>
      <c r="AE559" s="83"/>
      <c r="AF559" s="467"/>
      <c r="AG559" s="294">
        <v>44185</v>
      </c>
      <c r="AH559" s="407">
        <f>R559</f>
        <v>2073470</v>
      </c>
      <c r="AI559" s="132">
        <f t="shared" si="183"/>
        <v>2073470</v>
      </c>
      <c r="AJ559" s="342">
        <f t="shared" si="185"/>
        <v>2073470</v>
      </c>
      <c r="AK559" s="132">
        <f t="shared" si="184"/>
        <v>0</v>
      </c>
      <c r="AL559" s="451" t="s">
        <v>2035</v>
      </c>
      <c r="AM559" s="133" t="s">
        <v>900</v>
      </c>
      <c r="AN559" s="246">
        <v>44868</v>
      </c>
      <c r="AO559" s="288"/>
    </row>
    <row r="560" s="422" customFormat="1" customHeight="1" spans="1:41">
      <c r="A560" s="115" t="s">
        <v>2036</v>
      </c>
      <c r="B560" s="115" t="s">
        <v>2037</v>
      </c>
      <c r="C560" s="403" t="s">
        <v>2038</v>
      </c>
      <c r="D560" s="193" t="str">
        <f t="shared" si="171"/>
        <v>毛忠彦410526196508205336</v>
      </c>
      <c r="E560" s="155">
        <v>13460802666</v>
      </c>
      <c r="F560" s="115" t="s">
        <v>2039</v>
      </c>
      <c r="G560" s="239">
        <v>10</v>
      </c>
      <c r="H560" s="115"/>
      <c r="I560" s="115"/>
      <c r="J560" s="115">
        <v>2708</v>
      </c>
      <c r="K560" s="115">
        <v>94.61</v>
      </c>
      <c r="L560" s="115"/>
      <c r="M560" s="115"/>
      <c r="N560" s="115"/>
      <c r="O560" s="431">
        <v>19000</v>
      </c>
      <c r="P560" s="239">
        <v>1797590</v>
      </c>
      <c r="Q560" s="464" t="s">
        <v>56</v>
      </c>
      <c r="R560" s="405">
        <v>1797590</v>
      </c>
      <c r="S560" s="464"/>
      <c r="T560" s="464"/>
      <c r="U560" s="464"/>
      <c r="V560" s="83"/>
      <c r="W560" s="83"/>
      <c r="X560" s="83"/>
      <c r="Y560" s="83"/>
      <c r="Z560" s="83"/>
      <c r="AA560" s="294"/>
      <c r="AB560" s="83"/>
      <c r="AC560" s="83"/>
      <c r="AD560" s="83"/>
      <c r="AE560" s="83"/>
      <c r="AF560" s="467"/>
      <c r="AG560" s="294">
        <v>44174</v>
      </c>
      <c r="AH560" s="407">
        <f>R560</f>
        <v>1797590</v>
      </c>
      <c r="AI560" s="132">
        <f t="shared" si="183"/>
        <v>1797590</v>
      </c>
      <c r="AJ560" s="342">
        <f t="shared" si="185"/>
        <v>1797590</v>
      </c>
      <c r="AK560" s="132">
        <f t="shared" si="184"/>
        <v>0</v>
      </c>
      <c r="AL560" s="451" t="s">
        <v>2040</v>
      </c>
      <c r="AM560" s="133" t="s">
        <v>900</v>
      </c>
      <c r="AN560" s="246">
        <v>44868</v>
      </c>
      <c r="AO560" s="288"/>
    </row>
    <row r="561" s="422" customFormat="1" customHeight="1" spans="1:41">
      <c r="A561" s="115" t="s">
        <v>2041</v>
      </c>
      <c r="B561" s="339" t="s">
        <v>2042</v>
      </c>
      <c r="C561" s="460" t="s">
        <v>2043</v>
      </c>
      <c r="D561" s="193" t="str">
        <f t="shared" si="171"/>
        <v>曾斌410102197908173013</v>
      </c>
      <c r="E561" s="107" t="s">
        <v>2044</v>
      </c>
      <c r="F561" s="194"/>
      <c r="G561" s="106">
        <v>11</v>
      </c>
      <c r="H561" s="106">
        <v>3</v>
      </c>
      <c r="I561" s="106">
        <v>10</v>
      </c>
      <c r="J561" s="106">
        <v>1003</v>
      </c>
      <c r="K561" s="106">
        <v>151.44</v>
      </c>
      <c r="L561" s="106">
        <v>8600</v>
      </c>
      <c r="M561" s="106"/>
      <c r="N561" s="106"/>
      <c r="O561" s="447">
        <v>8500</v>
      </c>
      <c r="P561" s="106">
        <v>1287240</v>
      </c>
      <c r="Q561" s="339" t="s">
        <v>56</v>
      </c>
      <c r="R561" s="487">
        <v>1287240</v>
      </c>
      <c r="S561" s="339"/>
      <c r="T561" s="339" t="s">
        <v>47</v>
      </c>
      <c r="U561" s="488"/>
      <c r="V561" s="339"/>
      <c r="W561" s="339">
        <v>9843</v>
      </c>
      <c r="X561" s="339">
        <v>80</v>
      </c>
      <c r="Y561" s="339"/>
      <c r="Z561" s="490" t="s">
        <v>48</v>
      </c>
      <c r="AA561" s="492"/>
      <c r="AB561" s="490"/>
      <c r="AC561" s="490"/>
      <c r="AD561" s="490"/>
      <c r="AE561" s="83"/>
      <c r="AF561" s="467"/>
      <c r="AG561" s="294">
        <v>42290</v>
      </c>
      <c r="AH561" s="407">
        <f>R561+W561+X561</f>
        <v>1297163</v>
      </c>
      <c r="AI561" s="132">
        <f t="shared" si="183"/>
        <v>1297163</v>
      </c>
      <c r="AJ561" s="342">
        <f t="shared" si="185"/>
        <v>1297163</v>
      </c>
      <c r="AK561" s="132">
        <f t="shared" si="184"/>
        <v>0</v>
      </c>
      <c r="AL561" s="471"/>
      <c r="AM561" s="133" t="s">
        <v>900</v>
      </c>
      <c r="AN561" s="246">
        <v>44868</v>
      </c>
      <c r="AO561" s="288"/>
    </row>
    <row r="562" s="422" customFormat="1" customHeight="1" spans="1:41">
      <c r="A562" s="115" t="s">
        <v>2045</v>
      </c>
      <c r="B562" s="115" t="s">
        <v>2046</v>
      </c>
      <c r="C562" s="403" t="s">
        <v>2047</v>
      </c>
      <c r="D562" s="193" t="str">
        <f t="shared" si="171"/>
        <v>李新玲41050319640119154X</v>
      </c>
      <c r="E562" s="155">
        <v>13673328331</v>
      </c>
      <c r="F562" s="115"/>
      <c r="G562" s="239">
        <v>10</v>
      </c>
      <c r="H562" s="115"/>
      <c r="I562" s="115"/>
      <c r="J562" s="115">
        <v>2308</v>
      </c>
      <c r="K562" s="115">
        <v>94.61</v>
      </c>
      <c r="L562" s="115"/>
      <c r="M562" s="115"/>
      <c r="N562" s="115"/>
      <c r="O562" s="431">
        <v>19000</v>
      </c>
      <c r="P562" s="239">
        <v>1797590</v>
      </c>
      <c r="Q562" s="339" t="s">
        <v>56</v>
      </c>
      <c r="R562" s="405">
        <v>1797590</v>
      </c>
      <c r="S562" s="464"/>
      <c r="T562" s="464"/>
      <c r="U562" s="464"/>
      <c r="V562" s="83"/>
      <c r="W562" s="83"/>
      <c r="X562" s="83"/>
      <c r="Y562" s="83"/>
      <c r="Z562" s="83"/>
      <c r="AA562" s="294"/>
      <c r="AB562" s="83"/>
      <c r="AC562" s="83"/>
      <c r="AD562" s="83"/>
      <c r="AE562" s="83"/>
      <c r="AF562" s="467"/>
      <c r="AG562" s="294">
        <v>44174</v>
      </c>
      <c r="AH562" s="407">
        <f>R562</f>
        <v>1797590</v>
      </c>
      <c r="AI562" s="132">
        <f t="shared" si="183"/>
        <v>1797590</v>
      </c>
      <c r="AJ562" s="342">
        <f t="shared" si="185"/>
        <v>1797590</v>
      </c>
      <c r="AK562" s="132">
        <f t="shared" si="184"/>
        <v>0</v>
      </c>
      <c r="AL562" s="451" t="s">
        <v>2040</v>
      </c>
      <c r="AM562" s="133" t="s">
        <v>900</v>
      </c>
      <c r="AN562" s="246">
        <v>44868</v>
      </c>
      <c r="AO562" s="288"/>
    </row>
    <row r="563" s="422" customFormat="1" customHeight="1" spans="1:41">
      <c r="A563" s="115" t="s">
        <v>2048</v>
      </c>
      <c r="B563" s="115" t="s">
        <v>2049</v>
      </c>
      <c r="C563" s="403" t="s">
        <v>2050</v>
      </c>
      <c r="D563" s="193" t="str">
        <f t="shared" si="171"/>
        <v>乔天泽410901200002071119</v>
      </c>
      <c r="E563" s="155">
        <v>17698295119</v>
      </c>
      <c r="F563" s="115"/>
      <c r="G563" s="239">
        <v>10</v>
      </c>
      <c r="H563" s="115"/>
      <c r="I563" s="115"/>
      <c r="J563" s="115">
        <v>3108</v>
      </c>
      <c r="K563" s="115">
        <v>151</v>
      </c>
      <c r="L563" s="115"/>
      <c r="M563" s="115"/>
      <c r="N563" s="115"/>
      <c r="O563" s="431">
        <v>19000</v>
      </c>
      <c r="P563" s="239">
        <v>2869000</v>
      </c>
      <c r="Q563" s="339" t="s">
        <v>56</v>
      </c>
      <c r="R563" s="405">
        <v>2869000</v>
      </c>
      <c r="S563" s="464"/>
      <c r="T563" s="464"/>
      <c r="U563" s="464"/>
      <c r="V563" s="83"/>
      <c r="W563" s="83"/>
      <c r="X563" s="83"/>
      <c r="Y563" s="83"/>
      <c r="Z563" s="83"/>
      <c r="AA563" s="294"/>
      <c r="AB563" s="83"/>
      <c r="AC563" s="83"/>
      <c r="AD563" s="83"/>
      <c r="AE563" s="83"/>
      <c r="AF563" s="467"/>
      <c r="AG563" s="294">
        <v>44174</v>
      </c>
      <c r="AH563" s="407"/>
      <c r="AI563" s="132">
        <f t="shared" si="183"/>
        <v>2869000</v>
      </c>
      <c r="AJ563" s="342">
        <f t="shared" si="185"/>
        <v>2869000</v>
      </c>
      <c r="AK563" s="132">
        <f t="shared" si="184"/>
        <v>0</v>
      </c>
      <c r="AL563" s="451" t="s">
        <v>2051</v>
      </c>
      <c r="AM563" s="133" t="s">
        <v>900</v>
      </c>
      <c r="AN563" s="246">
        <v>44868</v>
      </c>
      <c r="AO563" s="288"/>
    </row>
    <row r="564" s="422" customFormat="1" customHeight="1" spans="1:41">
      <c r="A564" s="115" t="s">
        <v>2052</v>
      </c>
      <c r="B564" s="115" t="s">
        <v>2053</v>
      </c>
      <c r="C564" s="403" t="s">
        <v>2054</v>
      </c>
      <c r="D564" s="193" t="str">
        <f t="shared" si="171"/>
        <v>王日410901199710250016</v>
      </c>
      <c r="E564" s="155">
        <v>18220561651</v>
      </c>
      <c r="F564" s="115"/>
      <c r="G564" s="239">
        <v>10</v>
      </c>
      <c r="H564" s="115"/>
      <c r="I564" s="115"/>
      <c r="J564" s="115">
        <v>3305</v>
      </c>
      <c r="K564" s="115">
        <v>109</v>
      </c>
      <c r="L564" s="115"/>
      <c r="M564" s="115"/>
      <c r="N564" s="115"/>
      <c r="O564" s="431">
        <v>19000</v>
      </c>
      <c r="P564" s="239">
        <v>2071000</v>
      </c>
      <c r="Q564" s="339" t="s">
        <v>56</v>
      </c>
      <c r="R564" s="405">
        <v>2071000</v>
      </c>
      <c r="S564" s="464"/>
      <c r="T564" s="464"/>
      <c r="U564" s="464"/>
      <c r="V564" s="83"/>
      <c r="W564" s="83"/>
      <c r="X564" s="83"/>
      <c r="Y564" s="83"/>
      <c r="Z564" s="83"/>
      <c r="AA564" s="294"/>
      <c r="AB564" s="83"/>
      <c r="AC564" s="83"/>
      <c r="AD564" s="83"/>
      <c r="AE564" s="83"/>
      <c r="AF564" s="467"/>
      <c r="AG564" s="294">
        <v>44174</v>
      </c>
      <c r="AH564" s="407"/>
      <c r="AI564" s="132">
        <f t="shared" si="183"/>
        <v>2071000</v>
      </c>
      <c r="AJ564" s="342">
        <f t="shared" si="185"/>
        <v>2071000</v>
      </c>
      <c r="AK564" s="132">
        <f t="shared" si="184"/>
        <v>0</v>
      </c>
      <c r="AL564" s="451" t="s">
        <v>2051</v>
      </c>
      <c r="AM564" s="133" t="s">
        <v>900</v>
      </c>
      <c r="AN564" s="246">
        <v>44868</v>
      </c>
      <c r="AO564" s="288"/>
    </row>
    <row r="565" s="422" customFormat="1" customHeight="1" spans="1:41">
      <c r="A565" s="115" t="s">
        <v>2055</v>
      </c>
      <c r="B565" s="115" t="s">
        <v>2056</v>
      </c>
      <c r="C565" s="403" t="s">
        <v>2057</v>
      </c>
      <c r="D565" s="193" t="str">
        <f t="shared" si="171"/>
        <v>王月410901199710250024</v>
      </c>
      <c r="E565" s="155">
        <v>18623938828</v>
      </c>
      <c r="F565" s="115"/>
      <c r="G565" s="239">
        <v>9</v>
      </c>
      <c r="H565" s="115">
        <v>3</v>
      </c>
      <c r="I565" s="115"/>
      <c r="J565" s="115">
        <v>2704</v>
      </c>
      <c r="K565" s="115">
        <v>94.65</v>
      </c>
      <c r="L565" s="115"/>
      <c r="M565" s="115"/>
      <c r="N565" s="115"/>
      <c r="O565" s="431">
        <v>19000</v>
      </c>
      <c r="P565" s="445">
        <v>1798350</v>
      </c>
      <c r="Q565" s="339" t="s">
        <v>56</v>
      </c>
      <c r="R565" s="464">
        <v>1798350</v>
      </c>
      <c r="S565" s="464"/>
      <c r="T565" s="464"/>
      <c r="U565" s="464"/>
      <c r="V565" s="83"/>
      <c r="W565" s="83"/>
      <c r="X565" s="83"/>
      <c r="Y565" s="83"/>
      <c r="Z565" s="83"/>
      <c r="AA565" s="294"/>
      <c r="AB565" s="83"/>
      <c r="AC565" s="83"/>
      <c r="AD565" s="83"/>
      <c r="AE565" s="83"/>
      <c r="AF565" s="467"/>
      <c r="AG565" s="294">
        <v>44174</v>
      </c>
      <c r="AH565" s="407">
        <f>R565</f>
        <v>1798350</v>
      </c>
      <c r="AI565" s="132">
        <f t="shared" si="183"/>
        <v>1798350</v>
      </c>
      <c r="AJ565" s="342">
        <f t="shared" si="185"/>
        <v>1798350</v>
      </c>
      <c r="AK565" s="132">
        <f t="shared" si="184"/>
        <v>0</v>
      </c>
      <c r="AL565" s="451" t="s">
        <v>2058</v>
      </c>
      <c r="AM565" s="133" t="s">
        <v>900</v>
      </c>
      <c r="AN565" s="246">
        <v>44868</v>
      </c>
      <c r="AO565" s="288"/>
    </row>
    <row r="566" s="422" customFormat="1" customHeight="1" spans="1:41">
      <c r="A566" s="115" t="s">
        <v>2059</v>
      </c>
      <c r="B566" s="115" t="s">
        <v>2060</v>
      </c>
      <c r="C566" s="403" t="s">
        <v>2061</v>
      </c>
      <c r="D566" s="193" t="str">
        <f t="shared" si="171"/>
        <v>吴新芳410526197402059099</v>
      </c>
      <c r="E566" s="155">
        <v>13193505777</v>
      </c>
      <c r="F566" s="115"/>
      <c r="G566" s="239">
        <v>10</v>
      </c>
      <c r="H566" s="115"/>
      <c r="I566" s="115"/>
      <c r="J566" s="115">
        <v>1408</v>
      </c>
      <c r="K566" s="115">
        <v>94.61</v>
      </c>
      <c r="L566" s="115"/>
      <c r="M566" s="115"/>
      <c r="N566" s="115"/>
      <c r="O566" s="431">
        <v>19000</v>
      </c>
      <c r="P566" s="445">
        <v>1797590</v>
      </c>
      <c r="Q566" s="339" t="s">
        <v>56</v>
      </c>
      <c r="R566" s="464">
        <v>1797590</v>
      </c>
      <c r="S566" s="464"/>
      <c r="T566" s="464"/>
      <c r="U566" s="501"/>
      <c r="V566" s="83"/>
      <c r="W566" s="83"/>
      <c r="X566" s="83"/>
      <c r="Y566" s="83"/>
      <c r="Z566" s="83"/>
      <c r="AA566" s="294"/>
      <c r="AB566" s="83"/>
      <c r="AC566" s="83"/>
      <c r="AD566" s="83"/>
      <c r="AE566" s="83"/>
      <c r="AF566" s="467"/>
      <c r="AG566" s="294">
        <v>43971</v>
      </c>
      <c r="AH566" s="407">
        <f>R566</f>
        <v>1797590</v>
      </c>
      <c r="AI566" s="132">
        <f t="shared" si="183"/>
        <v>1797590</v>
      </c>
      <c r="AJ566" s="342">
        <f t="shared" si="185"/>
        <v>1797590</v>
      </c>
      <c r="AK566" s="132">
        <f t="shared" si="184"/>
        <v>0</v>
      </c>
      <c r="AL566" s="473" t="s">
        <v>2062</v>
      </c>
      <c r="AM566" s="133" t="s">
        <v>900</v>
      </c>
      <c r="AN566" s="246">
        <v>44868</v>
      </c>
      <c r="AO566" s="288"/>
    </row>
    <row r="567" s="422" customFormat="1" customHeight="1" spans="1:41">
      <c r="A567" s="115" t="s">
        <v>2063</v>
      </c>
      <c r="B567" s="115" t="s">
        <v>2064</v>
      </c>
      <c r="C567" s="403" t="s">
        <v>2065</v>
      </c>
      <c r="D567" s="193" t="str">
        <f t="shared" si="171"/>
        <v>袁志伟410928198802016038</v>
      </c>
      <c r="E567" s="155">
        <v>15518515008</v>
      </c>
      <c r="F567" s="115"/>
      <c r="G567" s="239">
        <v>9</v>
      </c>
      <c r="H567" s="115"/>
      <c r="I567" s="115"/>
      <c r="J567" s="115">
        <v>2404</v>
      </c>
      <c r="K567" s="115">
        <v>94.65</v>
      </c>
      <c r="L567" s="115"/>
      <c r="M567" s="115"/>
      <c r="N567" s="115"/>
      <c r="O567" s="431">
        <v>19000</v>
      </c>
      <c r="P567" s="445">
        <v>1798350</v>
      </c>
      <c r="Q567" s="339" t="s">
        <v>56</v>
      </c>
      <c r="R567" s="464">
        <v>1798350</v>
      </c>
      <c r="S567" s="464"/>
      <c r="T567" s="464"/>
      <c r="U567" s="464"/>
      <c r="V567" s="83"/>
      <c r="W567" s="83"/>
      <c r="X567" s="83"/>
      <c r="Y567" s="83"/>
      <c r="Z567" s="83"/>
      <c r="AA567" s="294"/>
      <c r="AB567" s="83"/>
      <c r="AC567" s="83"/>
      <c r="AD567" s="83"/>
      <c r="AE567" s="83"/>
      <c r="AF567" s="467"/>
      <c r="AG567" s="294">
        <v>44174</v>
      </c>
      <c r="AH567" s="407">
        <f>R567</f>
        <v>1798350</v>
      </c>
      <c r="AI567" s="132">
        <f t="shared" si="183"/>
        <v>1798350</v>
      </c>
      <c r="AJ567" s="342">
        <f t="shared" si="185"/>
        <v>1798350</v>
      </c>
      <c r="AK567" s="132">
        <f t="shared" si="184"/>
        <v>0</v>
      </c>
      <c r="AL567" s="473" t="s">
        <v>2066</v>
      </c>
      <c r="AM567" s="133" t="s">
        <v>900</v>
      </c>
      <c r="AN567" s="246">
        <v>44868</v>
      </c>
      <c r="AO567" s="288"/>
    </row>
    <row r="568" s="422" customFormat="1" customHeight="1" spans="1:41">
      <c r="A568" s="115" t="s">
        <v>2067</v>
      </c>
      <c r="B568" s="115" t="s">
        <v>2068</v>
      </c>
      <c r="C568" s="403" t="s">
        <v>2069</v>
      </c>
      <c r="D568" s="193" t="str">
        <f t="shared" si="171"/>
        <v>安娜只41052219881005726X</v>
      </c>
      <c r="E568" s="155">
        <v>18238532888</v>
      </c>
      <c r="F568" s="115"/>
      <c r="G568" s="239">
        <v>11</v>
      </c>
      <c r="H568" s="115"/>
      <c r="I568" s="115"/>
      <c r="J568" s="115">
        <v>1903</v>
      </c>
      <c r="K568" s="115">
        <v>151.44</v>
      </c>
      <c r="L568" s="115"/>
      <c r="M568" s="115"/>
      <c r="N568" s="115"/>
      <c r="O568" s="431">
        <v>19000</v>
      </c>
      <c r="P568" s="239">
        <v>2877360</v>
      </c>
      <c r="Q568" s="339" t="s">
        <v>56</v>
      </c>
      <c r="R568" s="405">
        <v>2877360</v>
      </c>
      <c r="S568" s="464"/>
      <c r="T568" s="464"/>
      <c r="U568" s="501"/>
      <c r="V568" s="83"/>
      <c r="W568" s="83"/>
      <c r="X568" s="83"/>
      <c r="Y568" s="83"/>
      <c r="Z568" s="83"/>
      <c r="AA568" s="294"/>
      <c r="AB568" s="83"/>
      <c r="AC568" s="83"/>
      <c r="AD568" s="83"/>
      <c r="AE568" s="83"/>
      <c r="AF568" s="467"/>
      <c r="AG568" s="294">
        <v>44293</v>
      </c>
      <c r="AH568" s="407">
        <f>R568</f>
        <v>2877360</v>
      </c>
      <c r="AI568" s="132">
        <f t="shared" si="183"/>
        <v>2877360</v>
      </c>
      <c r="AJ568" s="342">
        <f t="shared" si="185"/>
        <v>2877360</v>
      </c>
      <c r="AK568" s="132">
        <f t="shared" si="184"/>
        <v>0</v>
      </c>
      <c r="AL568" s="473" t="s">
        <v>2070</v>
      </c>
      <c r="AM568" s="133" t="s">
        <v>900</v>
      </c>
      <c r="AN568" s="246">
        <v>44868</v>
      </c>
      <c r="AO568" s="288"/>
    </row>
    <row r="569" s="422" customFormat="1" customHeight="1" spans="1:41">
      <c r="A569" s="337" t="s">
        <v>2071</v>
      </c>
      <c r="B569" s="107" t="s">
        <v>2072</v>
      </c>
      <c r="C569" s="495" t="s">
        <v>2073</v>
      </c>
      <c r="D569" s="193" t="str">
        <f t="shared" si="171"/>
        <v>郭久长41018119590928757X</v>
      </c>
      <c r="E569" s="166" t="s">
        <v>2074</v>
      </c>
      <c r="F569" s="156"/>
      <c r="G569" s="115">
        <v>3</v>
      </c>
      <c r="H569" s="115">
        <v>21</v>
      </c>
      <c r="I569" s="115"/>
      <c r="J569" s="115">
        <v>2106</v>
      </c>
      <c r="K569" s="115">
        <v>61.66</v>
      </c>
      <c r="L569" s="115">
        <v>30000</v>
      </c>
      <c r="M569" s="115"/>
      <c r="N569" s="115"/>
      <c r="O569" s="431">
        <v>14653.6</v>
      </c>
      <c r="P569" s="445">
        <v>903541</v>
      </c>
      <c r="Q569" s="464" t="s">
        <v>66</v>
      </c>
      <c r="R569" s="465">
        <v>453541</v>
      </c>
      <c r="S569" s="465"/>
      <c r="T569" s="464">
        <v>450000</v>
      </c>
      <c r="U569" s="466"/>
      <c r="V569" s="466"/>
      <c r="W569" s="466">
        <v>4007</v>
      </c>
      <c r="X569" s="466">
        <v>550</v>
      </c>
      <c r="Y569" s="466"/>
      <c r="Z569" s="83"/>
      <c r="AA569" s="294"/>
      <c r="AB569" s="83"/>
      <c r="AC569" s="83"/>
      <c r="AD569" s="83"/>
      <c r="AE569" s="83"/>
      <c r="AF569" s="467"/>
      <c r="AG569" s="294">
        <v>43137</v>
      </c>
      <c r="AH569" s="407"/>
      <c r="AI569" s="132">
        <f t="shared" si="183"/>
        <v>458098</v>
      </c>
      <c r="AJ569" s="341"/>
      <c r="AK569" s="132">
        <f t="shared" si="184"/>
        <v>458098</v>
      </c>
      <c r="AL569" s="451" t="s">
        <v>1678</v>
      </c>
      <c r="AM569" s="133" t="s">
        <v>900</v>
      </c>
      <c r="AN569" s="246">
        <v>44868</v>
      </c>
      <c r="AO569" s="288"/>
    </row>
    <row r="570" s="422" customFormat="1" customHeight="1" spans="1:41">
      <c r="A570" s="115" t="s">
        <v>2075</v>
      </c>
      <c r="B570" s="107" t="s">
        <v>2076</v>
      </c>
      <c r="C570" s="406" t="s">
        <v>2077</v>
      </c>
      <c r="D570" s="193" t="str">
        <f t="shared" si="171"/>
        <v>师振旗41040319560927351X</v>
      </c>
      <c r="E570" s="166">
        <v>15893461111</v>
      </c>
      <c r="F570" s="156"/>
      <c r="G570" s="115">
        <v>2</v>
      </c>
      <c r="H570" s="115">
        <v>15</v>
      </c>
      <c r="I570" s="115"/>
      <c r="J570" s="115">
        <v>1526</v>
      </c>
      <c r="K570" s="115">
        <v>50.06</v>
      </c>
      <c r="L570" s="115">
        <v>30000</v>
      </c>
      <c r="M570" s="115"/>
      <c r="N570" s="115"/>
      <c r="O570" s="431">
        <v>14929.52</v>
      </c>
      <c r="P570" s="445">
        <v>747372</v>
      </c>
      <c r="Q570" s="464" t="s">
        <v>66</v>
      </c>
      <c r="R570" s="465">
        <v>374372</v>
      </c>
      <c r="S570" s="465"/>
      <c r="T570" s="464">
        <v>373000</v>
      </c>
      <c r="U570" s="466"/>
      <c r="V570" s="466"/>
      <c r="W570" s="466">
        <v>3253</v>
      </c>
      <c r="X570" s="466">
        <v>550</v>
      </c>
      <c r="Y570" s="466"/>
      <c r="Z570" s="83"/>
      <c r="AA570" s="294"/>
      <c r="AB570" s="83"/>
      <c r="AC570" s="83">
        <f>31199+45343</f>
        <v>76542</v>
      </c>
      <c r="AD570" s="83"/>
      <c r="AE570" s="83"/>
      <c r="AF570" s="467"/>
      <c r="AG570" s="294">
        <v>43677</v>
      </c>
      <c r="AH570" s="407">
        <f>110000+15472+W570+X570</f>
        <v>129275</v>
      </c>
      <c r="AI570" s="132">
        <f t="shared" si="183"/>
        <v>454717</v>
      </c>
      <c r="AJ570" s="132">
        <f>R570+W570+V570+X570+AA570</f>
        <v>378175</v>
      </c>
      <c r="AK570" s="132">
        <f t="shared" si="184"/>
        <v>76542</v>
      </c>
      <c r="AL570" s="471"/>
      <c r="AM570" s="133" t="s">
        <v>900</v>
      </c>
      <c r="AN570" s="246">
        <v>44886</v>
      </c>
      <c r="AO570" s="288"/>
    </row>
    <row r="571" s="422" customFormat="1" customHeight="1" spans="1:41">
      <c r="A571" s="115" t="s">
        <v>2078</v>
      </c>
      <c r="B571" s="107" t="s">
        <v>2079</v>
      </c>
      <c r="C571" s="478" t="s">
        <v>2080</v>
      </c>
      <c r="D571" s="193" t="str">
        <f t="shared" si="171"/>
        <v>杨莎411222198704261528</v>
      </c>
      <c r="E571" s="444" t="s">
        <v>2081</v>
      </c>
      <c r="F571" s="167"/>
      <c r="G571" s="109">
        <v>6</v>
      </c>
      <c r="H571" s="106">
        <v>2</v>
      </c>
      <c r="I571" s="106">
        <v>20</v>
      </c>
      <c r="J571" s="106">
        <v>2001</v>
      </c>
      <c r="K571" s="106">
        <v>109.13</v>
      </c>
      <c r="L571" s="106">
        <v>12600</v>
      </c>
      <c r="M571" s="106"/>
      <c r="N571" s="106"/>
      <c r="O571" s="455">
        <v>12500</v>
      </c>
      <c r="P571" s="445">
        <v>1364125</v>
      </c>
      <c r="Q571" s="486" t="s">
        <v>56</v>
      </c>
      <c r="R571" s="468">
        <v>1364125</v>
      </c>
      <c r="S571" s="468"/>
      <c r="T571" s="464" t="s">
        <v>47</v>
      </c>
      <c r="U571" s="468"/>
      <c r="V571" s="468"/>
      <c r="W571" s="468">
        <v>7093</v>
      </c>
      <c r="X571" s="468">
        <v>80</v>
      </c>
      <c r="Y571" s="468"/>
      <c r="Z571" s="468" t="s">
        <v>48</v>
      </c>
      <c r="AA571" s="474"/>
      <c r="AB571" s="468"/>
      <c r="AC571" s="468"/>
      <c r="AD571" s="468"/>
      <c r="AE571" s="83"/>
      <c r="AF571" s="467"/>
      <c r="AG571" s="294">
        <v>42851</v>
      </c>
      <c r="AH571" s="407"/>
      <c r="AI571" s="132">
        <f t="shared" ref="AI571:AI576" si="186">R571+V571+W571+X571+AA571+AB571+AC571+AD571</f>
        <v>1371298</v>
      </c>
      <c r="AJ571" s="132">
        <f t="shared" ref="AJ571:AJ576" si="187">R571+W571+V571+X571+AA571</f>
        <v>1371298</v>
      </c>
      <c r="AK571" s="132">
        <f t="shared" ref="AK571:AK576" si="188">AI571-AJ571</f>
        <v>0</v>
      </c>
      <c r="AL571" s="471"/>
      <c r="AM571" s="133" t="s">
        <v>900</v>
      </c>
      <c r="AN571" s="246">
        <v>44886</v>
      </c>
      <c r="AO571" s="288"/>
    </row>
    <row r="572" s="422" customFormat="1" customHeight="1" spans="1:41">
      <c r="A572" s="115" t="s">
        <v>2082</v>
      </c>
      <c r="B572" s="107" t="s">
        <v>2083</v>
      </c>
      <c r="C572" s="406" t="s">
        <v>2084</v>
      </c>
      <c r="D572" s="193" t="str">
        <f t="shared" si="171"/>
        <v>于振华412823196812300425</v>
      </c>
      <c r="E572" s="155">
        <v>13683717661</v>
      </c>
      <c r="F572" s="115"/>
      <c r="G572" s="115">
        <v>3</v>
      </c>
      <c r="H572" s="115">
        <v>13</v>
      </c>
      <c r="I572" s="115"/>
      <c r="J572" s="115">
        <v>1307</v>
      </c>
      <c r="K572" s="115">
        <v>61.94</v>
      </c>
      <c r="L572" s="115">
        <v>20000</v>
      </c>
      <c r="M572" s="115"/>
      <c r="N572" s="115"/>
      <c r="O572" s="431">
        <v>8907.06</v>
      </c>
      <c r="P572" s="445">
        <v>551703</v>
      </c>
      <c r="Q572" s="464" t="s">
        <v>66</v>
      </c>
      <c r="R572" s="484">
        <v>281703</v>
      </c>
      <c r="S572" s="484"/>
      <c r="T572" s="466" t="s">
        <v>47</v>
      </c>
      <c r="U572" s="485"/>
      <c r="V572" s="405">
        <v>270000</v>
      </c>
      <c r="W572" s="466">
        <v>4026</v>
      </c>
      <c r="X572" s="466">
        <v>550</v>
      </c>
      <c r="Y572" s="466"/>
      <c r="Z572" s="83" t="s">
        <v>48</v>
      </c>
      <c r="AA572" s="294"/>
      <c r="AB572" s="83"/>
      <c r="AC572" s="83">
        <f>1000+550+27+230</f>
        <v>1807</v>
      </c>
      <c r="AD572" s="83"/>
      <c r="AE572" s="83"/>
      <c r="AF572" s="467"/>
      <c r="AG572" s="294">
        <v>43275</v>
      </c>
      <c r="AH572" s="407">
        <f>R572+W572+X572</f>
        <v>286279</v>
      </c>
      <c r="AI572" s="132">
        <f t="shared" si="186"/>
        <v>558086</v>
      </c>
      <c r="AJ572" s="132">
        <f t="shared" si="187"/>
        <v>556279</v>
      </c>
      <c r="AK572" s="132">
        <f t="shared" si="188"/>
        <v>1807</v>
      </c>
      <c r="AL572" s="471"/>
      <c r="AM572" s="133" t="s">
        <v>900</v>
      </c>
      <c r="AN572" s="246">
        <v>44886</v>
      </c>
      <c r="AO572" s="288"/>
    </row>
    <row r="573" s="252" customFormat="1" customHeight="1" spans="1:41">
      <c r="A573" s="115" t="s">
        <v>2085</v>
      </c>
      <c r="B573" s="339" t="s">
        <v>2086</v>
      </c>
      <c r="C573" s="460" t="s">
        <v>2087</v>
      </c>
      <c r="D573" s="193" t="str">
        <f t="shared" si="171"/>
        <v>何阳41050219830619303X</v>
      </c>
      <c r="E573" s="107" t="s">
        <v>2088</v>
      </c>
      <c r="F573" s="194"/>
      <c r="G573" s="106">
        <v>11</v>
      </c>
      <c r="H573" s="106">
        <v>3</v>
      </c>
      <c r="I573" s="106">
        <v>15</v>
      </c>
      <c r="J573" s="106">
        <v>1503</v>
      </c>
      <c r="K573" s="106">
        <v>151.44</v>
      </c>
      <c r="L573" s="106">
        <v>9600</v>
      </c>
      <c r="M573" s="106"/>
      <c r="N573" s="106"/>
      <c r="O573" s="447">
        <v>9500</v>
      </c>
      <c r="P573" s="106">
        <v>1438680</v>
      </c>
      <c r="Q573" s="339" t="s">
        <v>56</v>
      </c>
      <c r="R573" s="487">
        <v>1444432</v>
      </c>
      <c r="S573" s="339">
        <v>-5752</v>
      </c>
      <c r="T573" s="339" t="s">
        <v>47</v>
      </c>
      <c r="U573" s="488"/>
      <c r="V573" s="339"/>
      <c r="W573" s="339">
        <v>9843</v>
      </c>
      <c r="X573" s="339">
        <v>80</v>
      </c>
      <c r="Y573" s="339"/>
      <c r="Z573" s="490" t="s">
        <v>48</v>
      </c>
      <c r="AA573" s="492"/>
      <c r="AB573" s="490"/>
      <c r="AC573" s="490"/>
      <c r="AD573" s="490"/>
      <c r="AE573" s="83"/>
      <c r="AF573" s="467"/>
      <c r="AG573" s="294">
        <v>42490</v>
      </c>
      <c r="AH573" s="407"/>
      <c r="AI573" s="132">
        <f t="shared" si="186"/>
        <v>1454355</v>
      </c>
      <c r="AJ573" s="132">
        <f t="shared" si="187"/>
        <v>1454355</v>
      </c>
      <c r="AK573" s="132">
        <f t="shared" si="188"/>
        <v>0</v>
      </c>
      <c r="AL573" s="471"/>
      <c r="AM573" s="133" t="s">
        <v>900</v>
      </c>
      <c r="AN573" s="246">
        <v>44886</v>
      </c>
      <c r="AO573" s="288"/>
    </row>
    <row r="574" s="422" customFormat="1" customHeight="1" spans="1:41">
      <c r="A574" s="115" t="s">
        <v>2089</v>
      </c>
      <c r="B574" s="115" t="s">
        <v>2086</v>
      </c>
      <c r="C574" s="115" t="s">
        <v>2087</v>
      </c>
      <c r="D574" s="193" t="str">
        <f t="shared" si="171"/>
        <v>何阳41050219830619303X</v>
      </c>
      <c r="E574" s="155" t="s">
        <v>2090</v>
      </c>
      <c r="F574" s="115"/>
      <c r="G574" s="115">
        <v>10</v>
      </c>
      <c r="H574" s="115">
        <v>2</v>
      </c>
      <c r="I574" s="115">
        <v>22</v>
      </c>
      <c r="J574" s="115">
        <v>2205</v>
      </c>
      <c r="K574" s="115">
        <v>93.84</v>
      </c>
      <c r="L574" s="115">
        <v>9600</v>
      </c>
      <c r="M574" s="115"/>
      <c r="N574" s="115"/>
      <c r="O574" s="431">
        <v>9500</v>
      </c>
      <c r="P574" s="239">
        <v>891480</v>
      </c>
      <c r="Q574" s="445" t="s">
        <v>56</v>
      </c>
      <c r="R574" s="115">
        <v>931471</v>
      </c>
      <c r="S574" s="115">
        <v>-39991</v>
      </c>
      <c r="T574" s="445" t="s">
        <v>47</v>
      </c>
      <c r="U574" s="181"/>
      <c r="V574" s="496"/>
      <c r="W574" s="115">
        <v>6099</v>
      </c>
      <c r="X574" s="115">
        <v>80</v>
      </c>
      <c r="Y574" s="115"/>
      <c r="Z574" s="115" t="s">
        <v>48</v>
      </c>
      <c r="AA574" s="246"/>
      <c r="AB574" s="115"/>
      <c r="AC574" s="115"/>
      <c r="AD574" s="115"/>
      <c r="AE574" s="115"/>
      <c r="AF574" s="291"/>
      <c r="AG574" s="246">
        <v>42490</v>
      </c>
      <c r="AH574" s="133">
        <f>P574+W574+X574</f>
        <v>897659</v>
      </c>
      <c r="AI574" s="132">
        <f t="shared" si="186"/>
        <v>937650</v>
      </c>
      <c r="AJ574" s="132">
        <f t="shared" si="187"/>
        <v>937650</v>
      </c>
      <c r="AK574" s="132">
        <f t="shared" si="188"/>
        <v>0</v>
      </c>
      <c r="AL574" s="176"/>
      <c r="AM574" s="133" t="s">
        <v>900</v>
      </c>
      <c r="AN574" s="246">
        <v>44886</v>
      </c>
      <c r="AO574" s="288"/>
    </row>
    <row r="575" s="422" customFormat="1" customHeight="1" spans="1:41">
      <c r="A575" s="115" t="s">
        <v>2091</v>
      </c>
      <c r="B575" s="107" t="s">
        <v>2092</v>
      </c>
      <c r="C575" s="166" t="s">
        <v>2093</v>
      </c>
      <c r="D575" s="193" t="str">
        <f t="shared" si="171"/>
        <v>张艳丽412701197612264045</v>
      </c>
      <c r="E575" s="155" t="s">
        <v>2094</v>
      </c>
      <c r="F575" s="115"/>
      <c r="G575" s="115">
        <v>3</v>
      </c>
      <c r="H575" s="115">
        <v>22</v>
      </c>
      <c r="I575" s="115"/>
      <c r="J575" s="115">
        <v>2229</v>
      </c>
      <c r="K575" s="115">
        <v>57.45</v>
      </c>
      <c r="L575" s="115">
        <v>30000</v>
      </c>
      <c r="M575" s="115"/>
      <c r="N575" s="115"/>
      <c r="O575" s="431">
        <v>15460.33</v>
      </c>
      <c r="P575" s="445">
        <v>888196</v>
      </c>
      <c r="Q575" s="445" t="s">
        <v>66</v>
      </c>
      <c r="R575" s="448">
        <v>318196</v>
      </c>
      <c r="S575" s="448"/>
      <c r="T575" s="445">
        <v>440000</v>
      </c>
      <c r="U575" s="293">
        <v>130000</v>
      </c>
      <c r="V575" s="293"/>
      <c r="W575" s="293">
        <v>3734</v>
      </c>
      <c r="X575" s="293">
        <v>550</v>
      </c>
      <c r="Y575" s="293"/>
      <c r="Z575" s="115"/>
      <c r="AA575" s="246"/>
      <c r="AB575" s="115"/>
      <c r="AC575" s="115"/>
      <c r="AD575" s="115"/>
      <c r="AE575" s="83"/>
      <c r="AF575" s="467"/>
      <c r="AG575" s="294">
        <v>43327</v>
      </c>
      <c r="AH575" s="407">
        <f>R575+W575+X575</f>
        <v>322480</v>
      </c>
      <c r="AI575" s="132">
        <f t="shared" si="186"/>
        <v>322480</v>
      </c>
      <c r="AJ575" s="132">
        <f t="shared" si="187"/>
        <v>322480</v>
      </c>
      <c r="AK575" s="132">
        <f t="shared" si="188"/>
        <v>0</v>
      </c>
      <c r="AL575" s="471"/>
      <c r="AM575" s="133" t="s">
        <v>900</v>
      </c>
      <c r="AN575" s="246">
        <v>44886</v>
      </c>
      <c r="AO575" s="288"/>
    </row>
    <row r="576" s="422" customFormat="1" customHeight="1" spans="1:41">
      <c r="A576" s="115" t="s">
        <v>2095</v>
      </c>
      <c r="B576" s="107" t="s">
        <v>2096</v>
      </c>
      <c r="C576" s="406" t="s">
        <v>2097</v>
      </c>
      <c r="D576" s="193" t="str">
        <f t="shared" si="171"/>
        <v>潘峰410105197501021615</v>
      </c>
      <c r="E576" s="166" t="s">
        <v>2098</v>
      </c>
      <c r="F576" s="156"/>
      <c r="G576" s="115">
        <v>3</v>
      </c>
      <c r="H576" s="115">
        <v>16</v>
      </c>
      <c r="I576" s="115"/>
      <c r="J576" s="115">
        <v>1621</v>
      </c>
      <c r="K576" s="115">
        <v>71.53</v>
      </c>
      <c r="L576" s="115">
        <v>20000</v>
      </c>
      <c r="M576" s="115"/>
      <c r="N576" s="115"/>
      <c r="O576" s="431">
        <v>12232.4159021407</v>
      </c>
      <c r="P576" s="445">
        <v>874985</v>
      </c>
      <c r="Q576" s="464" t="s">
        <v>56</v>
      </c>
      <c r="R576" s="465">
        <v>874985</v>
      </c>
      <c r="S576" s="465"/>
      <c r="T576" s="466" t="s">
        <v>47</v>
      </c>
      <c r="U576" s="466"/>
      <c r="V576" s="466"/>
      <c r="W576" s="466">
        <v>4649</v>
      </c>
      <c r="X576" s="466">
        <v>550</v>
      </c>
      <c r="Y576" s="466"/>
      <c r="Z576" s="83" t="s">
        <v>48</v>
      </c>
      <c r="AA576" s="294"/>
      <c r="AB576" s="83"/>
      <c r="AC576" s="83"/>
      <c r="AD576" s="83"/>
      <c r="AE576" s="83"/>
      <c r="AF576" s="467"/>
      <c r="AG576" s="294">
        <v>42704</v>
      </c>
      <c r="AH576" s="407"/>
      <c r="AI576" s="132">
        <f t="shared" si="186"/>
        <v>880184</v>
      </c>
      <c r="AJ576" s="132">
        <f t="shared" si="187"/>
        <v>880184</v>
      </c>
      <c r="AK576" s="132">
        <f t="shared" si="188"/>
        <v>0</v>
      </c>
      <c r="AL576" s="471"/>
      <c r="AM576" s="133" t="s">
        <v>900</v>
      </c>
      <c r="AN576" s="246">
        <v>44886</v>
      </c>
      <c r="AO576" s="288"/>
    </row>
    <row r="577" s="422" customFormat="1" customHeight="1" spans="1:41">
      <c r="A577" s="115" t="s">
        <v>2099</v>
      </c>
      <c r="B577" s="107" t="s">
        <v>2100</v>
      </c>
      <c r="C577" s="406" t="s">
        <v>2101</v>
      </c>
      <c r="D577" s="193" t="str">
        <f t="shared" si="171"/>
        <v>李丹410105198208250528</v>
      </c>
      <c r="E577" s="155">
        <v>13333717171</v>
      </c>
      <c r="F577" s="115"/>
      <c r="G577" s="115">
        <v>3</v>
      </c>
      <c r="H577" s="115">
        <v>11</v>
      </c>
      <c r="I577" s="115"/>
      <c r="J577" s="115">
        <v>1122</v>
      </c>
      <c r="K577" s="115">
        <v>64.29</v>
      </c>
      <c r="L577" s="115">
        <v>20000</v>
      </c>
      <c r="M577" s="115"/>
      <c r="N577" s="115"/>
      <c r="O577" s="431">
        <v>8933.21</v>
      </c>
      <c r="P577" s="445">
        <v>574316</v>
      </c>
      <c r="Q577" s="464" t="s">
        <v>66</v>
      </c>
      <c r="R577" s="465">
        <v>294316</v>
      </c>
      <c r="S577" s="465"/>
      <c r="T577" s="466">
        <v>280000</v>
      </c>
      <c r="U577" s="466"/>
      <c r="V577" s="466"/>
      <c r="W577" s="466">
        <v>4178</v>
      </c>
      <c r="X577" s="466">
        <v>550</v>
      </c>
      <c r="Y577" s="466"/>
      <c r="Z577" s="83"/>
      <c r="AA577" s="294"/>
      <c r="AB577" s="83">
        <v>3000</v>
      </c>
      <c r="AC577" s="83"/>
      <c r="AD577" s="83"/>
      <c r="AE577" s="83"/>
      <c r="AF577" s="467"/>
      <c r="AG577" s="294">
        <v>42574</v>
      </c>
      <c r="AH577" s="407">
        <f>R577+W577+X577</f>
        <v>299044</v>
      </c>
      <c r="AI577" s="132">
        <f t="shared" ref="AI577:AI584" si="189">R577+V577+W577+X577+AA577+AB577+AC577+AD577</f>
        <v>302044</v>
      </c>
      <c r="AJ577" s="132">
        <f t="shared" ref="AJ577:AJ584" si="190">R577+W577+V577+X577+AA577</f>
        <v>299044</v>
      </c>
      <c r="AK577" s="132">
        <f t="shared" ref="AK577:AK584" si="191">AI577-AJ577</f>
        <v>3000</v>
      </c>
      <c r="AL577" s="471"/>
      <c r="AM577" s="133" t="s">
        <v>900</v>
      </c>
      <c r="AN577" s="246">
        <v>44886</v>
      </c>
      <c r="AO577" s="288"/>
    </row>
    <row r="578" s="422" customFormat="1" customHeight="1" spans="1:41">
      <c r="A578" s="115" t="s">
        <v>2102</v>
      </c>
      <c r="B578" s="115" t="s">
        <v>2103</v>
      </c>
      <c r="C578" s="403" t="s">
        <v>2104</v>
      </c>
      <c r="D578" s="193" t="str">
        <f t="shared" si="171"/>
        <v>李高攀410825198004050018</v>
      </c>
      <c r="E578" s="155" t="s">
        <v>2105</v>
      </c>
      <c r="F578" s="115"/>
      <c r="G578" s="239">
        <v>9</v>
      </c>
      <c r="H578" s="115">
        <v>3</v>
      </c>
      <c r="I578" s="115">
        <v>18</v>
      </c>
      <c r="J578" s="115">
        <v>1804</v>
      </c>
      <c r="K578" s="115">
        <v>94.65</v>
      </c>
      <c r="L578" s="115">
        <v>17900</v>
      </c>
      <c r="M578" s="115"/>
      <c r="N578" s="115"/>
      <c r="O578" s="431">
        <v>15120</v>
      </c>
      <c r="P578" s="239">
        <v>1431108</v>
      </c>
      <c r="Q578" s="464" t="s">
        <v>46</v>
      </c>
      <c r="R578" s="405">
        <v>1031108</v>
      </c>
      <c r="S578" s="405"/>
      <c r="T578" s="464">
        <v>400000</v>
      </c>
      <c r="U578" s="464"/>
      <c r="V578" s="83"/>
      <c r="W578" s="83">
        <v>6152</v>
      </c>
      <c r="X578" s="83">
        <v>80</v>
      </c>
      <c r="Y578" s="83"/>
      <c r="Z578" s="83" t="s">
        <v>48</v>
      </c>
      <c r="AA578" s="294"/>
      <c r="AB578" s="83"/>
      <c r="AC578" s="83"/>
      <c r="AD578" s="83"/>
      <c r="AE578" s="83"/>
      <c r="AF578" s="467"/>
      <c r="AG578" s="294">
        <v>42810</v>
      </c>
      <c r="AH578" s="407">
        <f>R578+W578+X578</f>
        <v>1037340</v>
      </c>
      <c r="AI578" s="132">
        <f t="shared" si="189"/>
        <v>1037340</v>
      </c>
      <c r="AJ578" s="132">
        <f t="shared" si="190"/>
        <v>1037340</v>
      </c>
      <c r="AK578" s="132">
        <f t="shared" si="191"/>
        <v>0</v>
      </c>
      <c r="AL578" s="471"/>
      <c r="AM578" s="133" t="s">
        <v>900</v>
      </c>
      <c r="AN578" s="246">
        <v>44886</v>
      </c>
      <c r="AO578" s="288"/>
    </row>
    <row r="579" s="422" customFormat="1" customHeight="1" spans="1:41">
      <c r="A579" s="115" t="s">
        <v>2106</v>
      </c>
      <c r="B579" s="107" t="s">
        <v>2107</v>
      </c>
      <c r="C579" s="406" t="s">
        <v>2108</v>
      </c>
      <c r="D579" s="193" t="str">
        <f t="shared" ref="D579:D642" si="192">B579&amp;C579</f>
        <v>李兰英411602196506150525</v>
      </c>
      <c r="E579" s="155">
        <v>13507688876</v>
      </c>
      <c r="F579" s="115"/>
      <c r="G579" s="115">
        <v>3</v>
      </c>
      <c r="H579" s="115">
        <v>8</v>
      </c>
      <c r="I579" s="115"/>
      <c r="J579" s="115">
        <v>834</v>
      </c>
      <c r="K579" s="115">
        <v>55.51</v>
      </c>
      <c r="L579" s="115">
        <v>20000</v>
      </c>
      <c r="M579" s="115"/>
      <c r="N579" s="115"/>
      <c r="O579" s="431">
        <v>9873.05</v>
      </c>
      <c r="P579" s="445">
        <v>548053</v>
      </c>
      <c r="Q579" s="464" t="s">
        <v>66</v>
      </c>
      <c r="R579" s="484">
        <v>278053</v>
      </c>
      <c r="S579" s="484"/>
      <c r="T579" s="466" t="s">
        <v>47</v>
      </c>
      <c r="U579" s="466"/>
      <c r="V579" s="405">
        <v>270000</v>
      </c>
      <c r="W579" s="466">
        <v>3608</v>
      </c>
      <c r="X579" s="466">
        <v>550</v>
      </c>
      <c r="Y579" s="466"/>
      <c r="Z579" s="83" t="s">
        <v>48</v>
      </c>
      <c r="AA579" s="294"/>
      <c r="AB579" s="83"/>
      <c r="AC579" s="83"/>
      <c r="AD579" s="83"/>
      <c r="AE579" s="83"/>
      <c r="AF579" s="467"/>
      <c r="AG579" s="294">
        <v>43298</v>
      </c>
      <c r="AH579" s="407">
        <f>X579+W579+R579</f>
        <v>282211</v>
      </c>
      <c r="AI579" s="132">
        <f t="shared" si="189"/>
        <v>552211</v>
      </c>
      <c r="AJ579" s="132">
        <f t="shared" si="190"/>
        <v>552211</v>
      </c>
      <c r="AK579" s="132">
        <f t="shared" si="191"/>
        <v>0</v>
      </c>
      <c r="AL579" s="471"/>
      <c r="AM579" s="133" t="s">
        <v>900</v>
      </c>
      <c r="AN579" s="246">
        <v>44886</v>
      </c>
      <c r="AO579" s="288"/>
    </row>
    <row r="580" s="422" customFormat="1" customHeight="1" spans="1:41">
      <c r="A580" s="115" t="s">
        <v>2109</v>
      </c>
      <c r="B580" s="155" t="s">
        <v>2110</v>
      </c>
      <c r="C580" s="166" t="s">
        <v>2111</v>
      </c>
      <c r="D580" s="193" t="str">
        <f t="shared" si="192"/>
        <v>刘会杰412825198102156125</v>
      </c>
      <c r="E580" s="155">
        <v>15539631587</v>
      </c>
      <c r="F580" s="115"/>
      <c r="G580" s="115">
        <v>2</v>
      </c>
      <c r="H580" s="115">
        <v>8</v>
      </c>
      <c r="I580" s="115"/>
      <c r="J580" s="115">
        <v>813</v>
      </c>
      <c r="K580" s="115">
        <v>49.5</v>
      </c>
      <c r="L580" s="239">
        <v>30000</v>
      </c>
      <c r="M580" s="239"/>
      <c r="N580" s="239"/>
      <c r="O580" s="431">
        <v>15000</v>
      </c>
      <c r="P580" s="239">
        <v>742500</v>
      </c>
      <c r="Q580" s="445" t="s">
        <v>66</v>
      </c>
      <c r="R580" s="239">
        <v>372500</v>
      </c>
      <c r="S580" s="239"/>
      <c r="T580" s="464">
        <v>370000</v>
      </c>
      <c r="U580" s="239"/>
      <c r="V580" s="83"/>
      <c r="W580" s="401">
        <v>3217</v>
      </c>
      <c r="X580" s="83">
        <v>550</v>
      </c>
      <c r="Y580" s="83"/>
      <c r="Z580" s="83"/>
      <c r="AA580" s="294"/>
      <c r="AB580" s="83"/>
      <c r="AC580" s="83"/>
      <c r="AD580" s="83"/>
      <c r="AE580" s="83"/>
      <c r="AF580" s="467"/>
      <c r="AG580" s="294">
        <v>43319</v>
      </c>
      <c r="AH580" s="407">
        <f>152500+W580+X580</f>
        <v>156267</v>
      </c>
      <c r="AI580" s="132">
        <f t="shared" si="189"/>
        <v>376267</v>
      </c>
      <c r="AJ580" s="132">
        <f t="shared" si="190"/>
        <v>376267</v>
      </c>
      <c r="AK580" s="132">
        <f t="shared" si="191"/>
        <v>0</v>
      </c>
      <c r="AL580" s="471"/>
      <c r="AM580" s="133" t="s">
        <v>900</v>
      </c>
      <c r="AN580" s="246">
        <v>44886</v>
      </c>
      <c r="AO580" s="288"/>
    </row>
    <row r="581" s="422" customFormat="1" customHeight="1" spans="1:41">
      <c r="A581" s="115" t="s">
        <v>2112</v>
      </c>
      <c r="B581" s="107" t="s">
        <v>2113</v>
      </c>
      <c r="C581" s="406" t="s">
        <v>2114</v>
      </c>
      <c r="D581" s="193" t="str">
        <f t="shared" si="192"/>
        <v>岳玫合410106198709131515</v>
      </c>
      <c r="E581" s="155">
        <v>18703869721</v>
      </c>
      <c r="F581" s="115"/>
      <c r="G581" s="115">
        <v>3</v>
      </c>
      <c r="H581" s="115">
        <v>8</v>
      </c>
      <c r="I581" s="115"/>
      <c r="J581" s="115">
        <v>804</v>
      </c>
      <c r="K581" s="115">
        <v>56.57</v>
      </c>
      <c r="L581" s="115">
        <v>20000</v>
      </c>
      <c r="M581" s="115"/>
      <c r="N581" s="115"/>
      <c r="O581" s="431">
        <v>9380.61</v>
      </c>
      <c r="P581" s="445">
        <v>530661</v>
      </c>
      <c r="Q581" s="464" t="s">
        <v>66</v>
      </c>
      <c r="R581" s="484">
        <v>270661</v>
      </c>
      <c r="S581" s="484"/>
      <c r="T581" s="466" t="s">
        <v>47</v>
      </c>
      <c r="U581" s="466"/>
      <c r="V581" s="405">
        <v>260000</v>
      </c>
      <c r="W581" s="466">
        <v>3677</v>
      </c>
      <c r="X581" s="466">
        <v>550</v>
      </c>
      <c r="Y581" s="466"/>
      <c r="Z581" s="83" t="s">
        <v>48</v>
      </c>
      <c r="AA581" s="294"/>
      <c r="AB581" s="83">
        <v>1576</v>
      </c>
      <c r="AC581" s="83"/>
      <c r="AD581" s="83"/>
      <c r="AE581" s="83"/>
      <c r="AF581" s="467"/>
      <c r="AG581" s="294">
        <v>43110</v>
      </c>
      <c r="AH581" s="407">
        <f>R581+W581+X581</f>
        <v>274888</v>
      </c>
      <c r="AI581" s="132">
        <f t="shared" si="189"/>
        <v>536464</v>
      </c>
      <c r="AJ581" s="132">
        <f t="shared" si="190"/>
        <v>534888</v>
      </c>
      <c r="AK581" s="132">
        <f t="shared" si="191"/>
        <v>1576</v>
      </c>
      <c r="AL581" s="471"/>
      <c r="AM581" s="133" t="s">
        <v>900</v>
      </c>
      <c r="AN581" s="246">
        <v>44886</v>
      </c>
      <c r="AO581" s="288"/>
    </row>
    <row r="582" s="422" customFormat="1" customHeight="1" spans="1:41">
      <c r="A582" s="115" t="s">
        <v>2115</v>
      </c>
      <c r="B582" s="115" t="s">
        <v>2116</v>
      </c>
      <c r="C582" s="510" t="s">
        <v>2117</v>
      </c>
      <c r="D582" s="193" t="str">
        <f t="shared" si="192"/>
        <v>朱永芳410105197808180528</v>
      </c>
      <c r="E582" s="155" t="s">
        <v>2118</v>
      </c>
      <c r="F582" s="115"/>
      <c r="G582" s="239">
        <v>9</v>
      </c>
      <c r="H582" s="115">
        <v>3</v>
      </c>
      <c r="I582" s="115">
        <v>25</v>
      </c>
      <c r="J582" s="115">
        <v>2503</v>
      </c>
      <c r="K582" s="115">
        <v>99.56</v>
      </c>
      <c r="L582" s="115">
        <v>9100</v>
      </c>
      <c r="M582" s="115"/>
      <c r="N582" s="115"/>
      <c r="O582" s="431">
        <v>9000</v>
      </c>
      <c r="P582" s="239">
        <v>896040</v>
      </c>
      <c r="Q582" s="464" t="s">
        <v>46</v>
      </c>
      <c r="R582" s="405">
        <v>546040</v>
      </c>
      <c r="S582" s="405"/>
      <c r="T582" s="464" t="s">
        <v>47</v>
      </c>
      <c r="U582" s="464"/>
      <c r="V582" s="83">
        <v>350000</v>
      </c>
      <c r="W582" s="83">
        <v>6471</v>
      </c>
      <c r="X582" s="83">
        <v>80</v>
      </c>
      <c r="Y582" s="83"/>
      <c r="Z582" s="83" t="s">
        <v>48</v>
      </c>
      <c r="AA582" s="294"/>
      <c r="AB582" s="83"/>
      <c r="AC582" s="83"/>
      <c r="AD582" s="83"/>
      <c r="AE582" s="83"/>
      <c r="AF582" s="467"/>
      <c r="AG582" s="294">
        <v>44020</v>
      </c>
      <c r="AH582" s="407">
        <f>W582+X582</f>
        <v>6551</v>
      </c>
      <c r="AI582" s="132">
        <f t="shared" si="189"/>
        <v>902591</v>
      </c>
      <c r="AJ582" s="132">
        <f t="shared" si="190"/>
        <v>902591</v>
      </c>
      <c r="AK582" s="132">
        <f t="shared" si="191"/>
        <v>0</v>
      </c>
      <c r="AL582" s="471"/>
      <c r="AM582" s="133" t="s">
        <v>900</v>
      </c>
      <c r="AN582" s="246">
        <v>44886</v>
      </c>
      <c r="AO582" s="288"/>
    </row>
    <row r="583" s="422" customFormat="1" customHeight="1" spans="1:41">
      <c r="A583" s="115" t="s">
        <v>2119</v>
      </c>
      <c r="B583" s="115" t="s">
        <v>2120</v>
      </c>
      <c r="C583" s="156" t="s">
        <v>2121</v>
      </c>
      <c r="D583" s="193" t="str">
        <f t="shared" si="192"/>
        <v>刘晓龙410621198807124010</v>
      </c>
      <c r="E583" s="166" t="s">
        <v>2122</v>
      </c>
      <c r="F583" s="156"/>
      <c r="G583" s="239">
        <v>9</v>
      </c>
      <c r="H583" s="115">
        <v>3</v>
      </c>
      <c r="I583" s="115">
        <v>16</v>
      </c>
      <c r="J583" s="115">
        <v>1601</v>
      </c>
      <c r="K583" s="115">
        <v>93.4</v>
      </c>
      <c r="L583" s="115">
        <v>8758</v>
      </c>
      <c r="M583" s="115"/>
      <c r="N583" s="115"/>
      <c r="O583" s="431">
        <v>8657.6</v>
      </c>
      <c r="P583" s="239">
        <v>808620</v>
      </c>
      <c r="Q583" s="445" t="s">
        <v>66</v>
      </c>
      <c r="R583" s="445">
        <v>488620</v>
      </c>
      <c r="S583" s="445"/>
      <c r="T583" s="445">
        <v>320000</v>
      </c>
      <c r="U583" s="445"/>
      <c r="V583" s="115"/>
      <c r="W583" s="115">
        <v>6071</v>
      </c>
      <c r="X583" s="115">
        <v>80</v>
      </c>
      <c r="Y583" s="115"/>
      <c r="Z583" s="115"/>
      <c r="AA583" s="246"/>
      <c r="AB583" s="115"/>
      <c r="AC583" s="115"/>
      <c r="AD583" s="115"/>
      <c r="AE583" s="83"/>
      <c r="AF583" s="467"/>
      <c r="AG583" s="294">
        <v>42191</v>
      </c>
      <c r="AH583" s="407">
        <f>R583+W583</f>
        <v>494691</v>
      </c>
      <c r="AI583" s="132">
        <f t="shared" si="189"/>
        <v>494771</v>
      </c>
      <c r="AJ583" s="132">
        <f t="shared" si="190"/>
        <v>494771</v>
      </c>
      <c r="AK583" s="132">
        <f t="shared" si="191"/>
        <v>0</v>
      </c>
      <c r="AL583" s="471"/>
      <c r="AM583" s="133" t="s">
        <v>900</v>
      </c>
      <c r="AN583" s="246">
        <v>44886</v>
      </c>
      <c r="AO583" s="288"/>
    </row>
    <row r="584" s="422" customFormat="1" customHeight="1" spans="1:41">
      <c r="A584" s="115" t="s">
        <v>2123</v>
      </c>
      <c r="B584" s="404" t="s">
        <v>2124</v>
      </c>
      <c r="C584" s="406" t="s">
        <v>2125</v>
      </c>
      <c r="D584" s="193" t="str">
        <f t="shared" si="192"/>
        <v>黄德森330327198812144157</v>
      </c>
      <c r="E584" s="166" t="s">
        <v>2126</v>
      </c>
      <c r="F584" s="115"/>
      <c r="G584" s="115">
        <v>2</v>
      </c>
      <c r="H584" s="115">
        <v>15</v>
      </c>
      <c r="I584" s="115"/>
      <c r="J584" s="115">
        <v>1512</v>
      </c>
      <c r="K584" s="115">
        <v>49.37</v>
      </c>
      <c r="L584" s="239">
        <v>30000</v>
      </c>
      <c r="M584" s="239"/>
      <c r="N584" s="239"/>
      <c r="O584" s="431">
        <v>15000</v>
      </c>
      <c r="P584" s="239">
        <v>740550</v>
      </c>
      <c r="Q584" s="464" t="s">
        <v>66</v>
      </c>
      <c r="R584" s="83">
        <v>370550</v>
      </c>
      <c r="S584" s="83"/>
      <c r="T584" s="464">
        <v>0</v>
      </c>
      <c r="U584" s="83"/>
      <c r="V584" s="464">
        <v>370000</v>
      </c>
      <c r="W584" s="401">
        <v>3209</v>
      </c>
      <c r="X584" s="83">
        <v>550</v>
      </c>
      <c r="Y584" s="83"/>
      <c r="Z584" s="83" t="s">
        <v>48</v>
      </c>
      <c r="AA584" s="294"/>
      <c r="AB584" s="83"/>
      <c r="AC584" s="83"/>
      <c r="AD584" s="83"/>
      <c r="AE584" s="83"/>
      <c r="AF584" s="467"/>
      <c r="AG584" s="294">
        <v>43324</v>
      </c>
      <c r="AH584" s="407">
        <f>R584+W584+X584</f>
        <v>374309</v>
      </c>
      <c r="AI584" s="132">
        <f t="shared" si="189"/>
        <v>744309</v>
      </c>
      <c r="AJ584" s="132">
        <f t="shared" si="190"/>
        <v>744309</v>
      </c>
      <c r="AK584" s="132">
        <f t="shared" si="191"/>
        <v>0</v>
      </c>
      <c r="AL584" s="471"/>
      <c r="AM584" s="133" t="s">
        <v>900</v>
      </c>
      <c r="AN584" s="246">
        <v>44886</v>
      </c>
      <c r="AO584" s="288"/>
    </row>
    <row r="585" s="422" customFormat="1" customHeight="1" spans="1:44">
      <c r="A585" s="106" t="s">
        <v>2127</v>
      </c>
      <c r="B585" s="115" t="s">
        <v>2128</v>
      </c>
      <c r="C585" s="115" t="s">
        <v>2129</v>
      </c>
      <c r="D585" s="193" t="str">
        <f t="shared" si="192"/>
        <v>路明410504197711160547</v>
      </c>
      <c r="E585" s="155">
        <v>13663721888</v>
      </c>
      <c r="F585" s="115"/>
      <c r="G585" s="115">
        <v>10</v>
      </c>
      <c r="H585" s="115">
        <v>2</v>
      </c>
      <c r="I585" s="115">
        <v>30</v>
      </c>
      <c r="J585" s="115">
        <v>3005</v>
      </c>
      <c r="K585" s="115">
        <v>93.84</v>
      </c>
      <c r="L585" s="115">
        <v>12700</v>
      </c>
      <c r="M585" s="115"/>
      <c r="N585" s="115"/>
      <c r="O585" s="431">
        <v>12600</v>
      </c>
      <c r="P585" s="239">
        <v>1182384</v>
      </c>
      <c r="Q585" s="445" t="s">
        <v>66</v>
      </c>
      <c r="R585" s="115">
        <v>373086</v>
      </c>
      <c r="S585" s="115"/>
      <c r="T585" s="115">
        <v>809298</v>
      </c>
      <c r="U585" s="252"/>
      <c r="V585" s="115"/>
      <c r="W585" s="115"/>
      <c r="X585" s="115"/>
      <c r="Y585" s="115"/>
      <c r="Z585" s="115"/>
      <c r="AA585" s="246"/>
      <c r="AB585" s="115"/>
      <c r="AC585" s="115"/>
      <c r="AD585" s="115"/>
      <c r="AE585" s="401"/>
      <c r="AF585" s="401"/>
      <c r="AG585" s="247">
        <v>42730</v>
      </c>
      <c r="AH585" s="407"/>
      <c r="AI585" s="132">
        <f t="shared" ref="AI585:AI591" si="193">R585+V585+W585+X585+AA585+AB585+AC585+AD585</f>
        <v>373086</v>
      </c>
      <c r="AJ585" s="132">
        <f t="shared" ref="AJ585:AJ591" si="194">R585+W585+V585+X585+AA585</f>
        <v>373086</v>
      </c>
      <c r="AK585" s="132">
        <f t="shared" ref="AK585:AK591" si="195">AI585-AJ585</f>
        <v>0</v>
      </c>
      <c r="AL585" s="176"/>
      <c r="AM585" s="115" t="s">
        <v>974</v>
      </c>
      <c r="AN585" s="246">
        <v>44886</v>
      </c>
      <c r="AO585" s="259"/>
      <c r="AP585" s="202"/>
      <c r="AQ585" s="202"/>
      <c r="AR585" s="202"/>
    </row>
    <row r="586" s="422" customFormat="1" customHeight="1" spans="1:44">
      <c r="A586" s="106" t="s">
        <v>2130</v>
      </c>
      <c r="B586" s="155" t="s">
        <v>2131</v>
      </c>
      <c r="C586" s="406" t="s">
        <v>2132</v>
      </c>
      <c r="D586" s="193" t="str">
        <f t="shared" si="192"/>
        <v>孙芮芳411082199208091240</v>
      </c>
      <c r="E586" s="166" t="s">
        <v>2133</v>
      </c>
      <c r="F586" s="156"/>
      <c r="G586" s="239">
        <v>6</v>
      </c>
      <c r="H586" s="115">
        <v>1</v>
      </c>
      <c r="I586" s="115">
        <v>16</v>
      </c>
      <c r="J586" s="115">
        <v>1608</v>
      </c>
      <c r="K586" s="115">
        <v>109.13</v>
      </c>
      <c r="L586" s="115">
        <v>13100</v>
      </c>
      <c r="M586" s="115"/>
      <c r="N586" s="115"/>
      <c r="O586" s="431">
        <v>13000</v>
      </c>
      <c r="P586" s="445">
        <v>1418690</v>
      </c>
      <c r="Q586" s="464" t="s">
        <v>66</v>
      </c>
      <c r="R586" s="83">
        <v>851800</v>
      </c>
      <c r="S586" s="83"/>
      <c r="T586" s="464">
        <v>566890</v>
      </c>
      <c r="U586" s="83"/>
      <c r="V586" s="83"/>
      <c r="W586" s="83"/>
      <c r="X586" s="83"/>
      <c r="Y586" s="83"/>
      <c r="Z586" s="83"/>
      <c r="AA586" s="294"/>
      <c r="AB586" s="83"/>
      <c r="AC586" s="83"/>
      <c r="AD586" s="83"/>
      <c r="AE586" s="401"/>
      <c r="AF586" s="401"/>
      <c r="AG586" s="247">
        <v>42801</v>
      </c>
      <c r="AH586" s="407"/>
      <c r="AI586" s="132">
        <f t="shared" si="193"/>
        <v>851800</v>
      </c>
      <c r="AJ586" s="132">
        <f t="shared" si="194"/>
        <v>851800</v>
      </c>
      <c r="AK586" s="132">
        <f t="shared" si="195"/>
        <v>0</v>
      </c>
      <c r="AL586" s="176"/>
      <c r="AM586" s="115" t="s">
        <v>974</v>
      </c>
      <c r="AN586" s="246">
        <v>44886</v>
      </c>
      <c r="AO586" s="259"/>
      <c r="AP586" s="202"/>
      <c r="AQ586" s="202"/>
      <c r="AR586" s="202"/>
    </row>
    <row r="587" s="422" customFormat="1" customHeight="1" spans="1:44">
      <c r="A587" s="106" t="s">
        <v>2134</v>
      </c>
      <c r="B587" s="155" t="s">
        <v>2135</v>
      </c>
      <c r="C587" s="406" t="s">
        <v>2136</v>
      </c>
      <c r="D587" s="193" t="str">
        <f t="shared" si="192"/>
        <v>王贵富410523197110160014</v>
      </c>
      <c r="E587" s="155">
        <v>13837253733</v>
      </c>
      <c r="F587" s="115" t="s">
        <v>2137</v>
      </c>
      <c r="G587" s="239">
        <v>6</v>
      </c>
      <c r="H587" s="115">
        <v>1</v>
      </c>
      <c r="I587" s="115">
        <v>6</v>
      </c>
      <c r="J587" s="115">
        <v>607</v>
      </c>
      <c r="K587" s="115">
        <v>86.33</v>
      </c>
      <c r="L587" s="115">
        <v>19430</v>
      </c>
      <c r="M587" s="115"/>
      <c r="N587" s="115"/>
      <c r="O587" s="431">
        <v>16000</v>
      </c>
      <c r="P587" s="445">
        <v>1381280</v>
      </c>
      <c r="Q587" s="464" t="s">
        <v>56</v>
      </c>
      <c r="R587" s="83">
        <v>1381280</v>
      </c>
      <c r="S587" s="83"/>
      <c r="T587" s="464" t="s">
        <v>47</v>
      </c>
      <c r="U587" s="83"/>
      <c r="V587" s="83"/>
      <c r="W587" s="83">
        <v>5611</v>
      </c>
      <c r="X587" s="83">
        <v>80</v>
      </c>
      <c r="Y587" s="83"/>
      <c r="Z587" s="83" t="s">
        <v>48</v>
      </c>
      <c r="AA587" s="294"/>
      <c r="AB587" s="83"/>
      <c r="AC587" s="83"/>
      <c r="AD587" s="83"/>
      <c r="AE587" s="401"/>
      <c r="AF587" s="401"/>
      <c r="AG587" s="247">
        <v>42974</v>
      </c>
      <c r="AH587" s="407">
        <f>X587+W587+R587</f>
        <v>1386971</v>
      </c>
      <c r="AI587" s="132">
        <f t="shared" si="193"/>
        <v>1386971</v>
      </c>
      <c r="AJ587" s="132">
        <f t="shared" si="194"/>
        <v>1386971</v>
      </c>
      <c r="AK587" s="132">
        <f t="shared" si="195"/>
        <v>0</v>
      </c>
      <c r="AL587" s="176"/>
      <c r="AM587" s="115" t="s">
        <v>974</v>
      </c>
      <c r="AN587" s="246">
        <v>44886</v>
      </c>
      <c r="AO587" s="259"/>
      <c r="AP587" s="202"/>
      <c r="AQ587" s="202"/>
      <c r="AR587" s="202"/>
    </row>
    <row r="588" s="422" customFormat="1" customHeight="1" spans="1:44">
      <c r="A588" s="106" t="s">
        <v>2138</v>
      </c>
      <c r="B588" s="107" t="s">
        <v>2139</v>
      </c>
      <c r="C588" s="406" t="s">
        <v>2140</v>
      </c>
      <c r="D588" s="193" t="str">
        <f t="shared" si="192"/>
        <v>齐超412827196511100070</v>
      </c>
      <c r="E588" s="155">
        <v>15239083688</v>
      </c>
      <c r="F588" s="115"/>
      <c r="G588" s="115">
        <v>3</v>
      </c>
      <c r="H588" s="115">
        <v>14</v>
      </c>
      <c r="I588" s="115"/>
      <c r="J588" s="115">
        <v>1426</v>
      </c>
      <c r="K588" s="115">
        <v>56.59</v>
      </c>
      <c r="L588" s="115">
        <v>20000</v>
      </c>
      <c r="M588" s="115"/>
      <c r="N588" s="115"/>
      <c r="O588" s="431">
        <v>9692.61</v>
      </c>
      <c r="P588" s="445">
        <v>548505</v>
      </c>
      <c r="Q588" s="464" t="s">
        <v>56</v>
      </c>
      <c r="R588" s="465">
        <v>548505</v>
      </c>
      <c r="S588" s="465"/>
      <c r="T588" s="466" t="s">
        <v>47</v>
      </c>
      <c r="U588" s="466"/>
      <c r="V588" s="466"/>
      <c r="W588" s="466">
        <v>3678</v>
      </c>
      <c r="X588" s="466">
        <v>550</v>
      </c>
      <c r="Y588" s="466"/>
      <c r="Z588" s="83" t="s">
        <v>48</v>
      </c>
      <c r="AA588" s="294"/>
      <c r="AB588" s="83">
        <v>3000</v>
      </c>
      <c r="AC588" s="83"/>
      <c r="AD588" s="83"/>
      <c r="AE588" s="401"/>
      <c r="AF588" s="401"/>
      <c r="AG588" s="247">
        <v>43168</v>
      </c>
      <c r="AH588" s="407">
        <f>R588</f>
        <v>548505</v>
      </c>
      <c r="AI588" s="132">
        <f t="shared" si="193"/>
        <v>555733</v>
      </c>
      <c r="AJ588" s="132">
        <f t="shared" si="194"/>
        <v>552733</v>
      </c>
      <c r="AK588" s="132">
        <f t="shared" si="195"/>
        <v>3000</v>
      </c>
      <c r="AL588" s="176"/>
      <c r="AM588" s="115" t="s">
        <v>974</v>
      </c>
      <c r="AN588" s="246">
        <v>44886</v>
      </c>
      <c r="AO588" s="259"/>
      <c r="AP588" s="202"/>
      <c r="AQ588" s="202"/>
      <c r="AR588" s="202"/>
    </row>
    <row r="589" s="422" customFormat="1" customHeight="1" spans="1:44">
      <c r="A589" s="106" t="s">
        <v>2141</v>
      </c>
      <c r="B589" s="107" t="s">
        <v>2142</v>
      </c>
      <c r="C589" s="406" t="s">
        <v>2143</v>
      </c>
      <c r="D589" s="193" t="str">
        <f t="shared" si="192"/>
        <v>刘佳林410823197211170031</v>
      </c>
      <c r="E589" s="155">
        <v>13569115599</v>
      </c>
      <c r="F589" s="115"/>
      <c r="G589" s="115">
        <v>3</v>
      </c>
      <c r="H589" s="115">
        <v>14</v>
      </c>
      <c r="I589" s="115"/>
      <c r="J589" s="115">
        <v>1405</v>
      </c>
      <c r="K589" s="115">
        <v>59.91</v>
      </c>
      <c r="L589" s="115">
        <v>20000</v>
      </c>
      <c r="M589" s="115"/>
      <c r="N589" s="115"/>
      <c r="O589" s="431">
        <v>9500.57</v>
      </c>
      <c r="P589" s="445">
        <v>569179</v>
      </c>
      <c r="Q589" s="464" t="s">
        <v>66</v>
      </c>
      <c r="R589" s="484">
        <v>289179</v>
      </c>
      <c r="S589" s="484"/>
      <c r="T589" s="466">
        <v>280000</v>
      </c>
      <c r="U589" s="466"/>
      <c r="V589" s="405"/>
      <c r="W589" s="466">
        <v>3894</v>
      </c>
      <c r="X589" s="466">
        <v>550</v>
      </c>
      <c r="Y589" s="466"/>
      <c r="Z589" s="83" t="s">
        <v>48</v>
      </c>
      <c r="AA589" s="294"/>
      <c r="AB589" s="83"/>
      <c r="AC589" s="83"/>
      <c r="AD589" s="83"/>
      <c r="AE589" s="401"/>
      <c r="AF589" s="401"/>
      <c r="AG589" s="247">
        <v>43805</v>
      </c>
      <c r="AH589" s="407"/>
      <c r="AI589" s="132">
        <f t="shared" si="193"/>
        <v>293623</v>
      </c>
      <c r="AJ589" s="132">
        <f t="shared" si="194"/>
        <v>293623</v>
      </c>
      <c r="AK589" s="132">
        <f t="shared" si="195"/>
        <v>0</v>
      </c>
      <c r="AL589" s="176"/>
      <c r="AM589" s="115" t="s">
        <v>974</v>
      </c>
      <c r="AN589" s="246">
        <v>44886</v>
      </c>
      <c r="AO589" s="259"/>
      <c r="AP589" s="202"/>
      <c r="AQ589" s="202"/>
      <c r="AR589" s="202"/>
    </row>
    <row r="590" s="422" customFormat="1" customHeight="1" spans="1:44">
      <c r="A590" s="106" t="s">
        <v>2144</v>
      </c>
      <c r="B590" s="107" t="s">
        <v>2145</v>
      </c>
      <c r="C590" s="406" t="s">
        <v>2146</v>
      </c>
      <c r="D590" s="193" t="str">
        <f t="shared" si="192"/>
        <v>程金娥410823197305220028</v>
      </c>
      <c r="E590" s="155" t="s">
        <v>2147</v>
      </c>
      <c r="F590" s="115"/>
      <c r="G590" s="115">
        <v>3</v>
      </c>
      <c r="H590" s="115">
        <v>14</v>
      </c>
      <c r="I590" s="115"/>
      <c r="J590" s="115">
        <v>1404</v>
      </c>
      <c r="K590" s="115">
        <v>56.57</v>
      </c>
      <c r="L590" s="115">
        <v>20000</v>
      </c>
      <c r="M590" s="115"/>
      <c r="N590" s="115"/>
      <c r="O590" s="431">
        <v>9549.62</v>
      </c>
      <c r="P590" s="445">
        <v>540222</v>
      </c>
      <c r="Q590" s="464" t="s">
        <v>66</v>
      </c>
      <c r="R590" s="484">
        <v>300222</v>
      </c>
      <c r="S590" s="484"/>
      <c r="T590" s="466">
        <v>240000</v>
      </c>
      <c r="U590" s="466"/>
      <c r="V590" s="405"/>
      <c r="W590" s="466">
        <v>3677</v>
      </c>
      <c r="X590" s="466">
        <v>550</v>
      </c>
      <c r="Y590" s="466"/>
      <c r="Z590" s="83" t="s">
        <v>48</v>
      </c>
      <c r="AA590" s="294"/>
      <c r="AB590" s="83"/>
      <c r="AC590" s="83"/>
      <c r="AD590" s="83"/>
      <c r="AE590" s="401"/>
      <c r="AF590" s="401"/>
      <c r="AG590" s="247">
        <v>43068</v>
      </c>
      <c r="AH590" s="407">
        <f>X590+W590+R590</f>
        <v>304449</v>
      </c>
      <c r="AI590" s="132">
        <f t="shared" si="193"/>
        <v>304449</v>
      </c>
      <c r="AJ590" s="132">
        <f t="shared" si="194"/>
        <v>304449</v>
      </c>
      <c r="AK590" s="132">
        <f t="shared" si="195"/>
        <v>0</v>
      </c>
      <c r="AL590" s="176"/>
      <c r="AM590" s="115" t="s">
        <v>974</v>
      </c>
      <c r="AN590" s="246">
        <v>44886</v>
      </c>
      <c r="AO590" s="259"/>
      <c r="AP590" s="202"/>
      <c r="AQ590" s="202"/>
      <c r="AR590" s="202"/>
    </row>
    <row r="591" s="422" customFormat="1" customHeight="1" spans="1:44">
      <c r="A591" s="106" t="s">
        <v>2148</v>
      </c>
      <c r="B591" s="339" t="s">
        <v>2149</v>
      </c>
      <c r="C591" s="460" t="s">
        <v>2150</v>
      </c>
      <c r="D591" s="193" t="str">
        <f t="shared" si="192"/>
        <v>刘兴明410403195212162512</v>
      </c>
      <c r="E591" s="444"/>
      <c r="F591" s="119"/>
      <c r="G591" s="106">
        <v>11</v>
      </c>
      <c r="H591" s="106">
        <v>3</v>
      </c>
      <c r="I591" s="106">
        <v>27</v>
      </c>
      <c r="J591" s="106">
        <v>2702</v>
      </c>
      <c r="K591" s="106">
        <v>95.81</v>
      </c>
      <c r="L591" s="106">
        <v>19940</v>
      </c>
      <c r="M591" s="106"/>
      <c r="N591" s="106"/>
      <c r="O591" s="447">
        <v>19935.29</v>
      </c>
      <c r="P591" s="106">
        <v>1910000</v>
      </c>
      <c r="Q591" s="339" t="s">
        <v>56</v>
      </c>
      <c r="R591" s="487">
        <v>1910000</v>
      </c>
      <c r="S591" s="339"/>
      <c r="T591" s="339" t="s">
        <v>47</v>
      </c>
      <c r="U591" s="512"/>
      <c r="V591" s="339"/>
      <c r="W591" s="339">
        <v>6227</v>
      </c>
      <c r="X591" s="339">
        <v>80</v>
      </c>
      <c r="Y591" s="339"/>
      <c r="Z591" s="339" t="s">
        <v>48</v>
      </c>
      <c r="AA591" s="519"/>
      <c r="AB591" s="339"/>
      <c r="AC591" s="83">
        <v>276666.82</v>
      </c>
      <c r="AD591" s="83"/>
      <c r="AE591" s="401"/>
      <c r="AF591" s="401"/>
      <c r="AG591" s="247">
        <v>43068</v>
      </c>
      <c r="AH591" s="407">
        <f>X591+W591+R591</f>
        <v>1916307</v>
      </c>
      <c r="AI591" s="132">
        <f t="shared" si="193"/>
        <v>2192973.82</v>
      </c>
      <c r="AJ591" s="132">
        <f t="shared" si="194"/>
        <v>1916307</v>
      </c>
      <c r="AK591" s="132">
        <f t="shared" si="195"/>
        <v>276666.82</v>
      </c>
      <c r="AL591" s="176"/>
      <c r="AM591" s="115" t="s">
        <v>974</v>
      </c>
      <c r="AN591" s="246">
        <v>44886</v>
      </c>
      <c r="AO591" s="259"/>
      <c r="AP591" s="202"/>
      <c r="AQ591" s="202"/>
      <c r="AR591" s="202"/>
    </row>
    <row r="592" s="422" customFormat="1" customHeight="1" spans="1:44">
      <c r="A592" s="106" t="s">
        <v>2151</v>
      </c>
      <c r="B592" s="107" t="s">
        <v>2152</v>
      </c>
      <c r="C592" s="406" t="s">
        <v>2153</v>
      </c>
      <c r="D592" s="193" t="str">
        <f t="shared" si="192"/>
        <v>付振伟410126197504093333</v>
      </c>
      <c r="E592" s="155" t="s">
        <v>2154</v>
      </c>
      <c r="F592" s="156" t="s">
        <v>2155</v>
      </c>
      <c r="G592" s="115">
        <v>3</v>
      </c>
      <c r="H592" s="115">
        <v>22</v>
      </c>
      <c r="I592" s="115"/>
      <c r="J592" s="115">
        <v>2227</v>
      </c>
      <c r="K592" s="115">
        <v>58.41</v>
      </c>
      <c r="L592" s="115">
        <v>30000</v>
      </c>
      <c r="M592" s="115"/>
      <c r="N592" s="115"/>
      <c r="O592" s="431">
        <v>15199.11</v>
      </c>
      <c r="P592" s="445">
        <v>887780</v>
      </c>
      <c r="Q592" s="464" t="s">
        <v>66</v>
      </c>
      <c r="R592" s="484">
        <v>447780</v>
      </c>
      <c r="S592" s="484"/>
      <c r="T592" s="466" t="s">
        <v>47</v>
      </c>
      <c r="U592" s="466"/>
      <c r="V592" s="405">
        <v>440000</v>
      </c>
      <c r="W592" s="466">
        <v>3796</v>
      </c>
      <c r="X592" s="466">
        <v>550</v>
      </c>
      <c r="Y592" s="466"/>
      <c r="Z592" s="83" t="s">
        <v>48</v>
      </c>
      <c r="AA592" s="294"/>
      <c r="AB592" s="83"/>
      <c r="AC592" s="83"/>
      <c r="AD592" s="83"/>
      <c r="AE592" s="401"/>
      <c r="AF592" s="401"/>
      <c r="AG592" s="247">
        <v>43805</v>
      </c>
      <c r="AH592" s="407">
        <f>X592+W592+R592</f>
        <v>452126</v>
      </c>
      <c r="AI592" s="132">
        <f t="shared" ref="AI592:AI598" si="196">R592+V592+W592+X592+AA592+AB592+AC592+AD592</f>
        <v>892126</v>
      </c>
      <c r="AJ592" s="132">
        <f t="shared" ref="AJ592:AJ598" si="197">R592+W592+V592+X592+AA592</f>
        <v>892126</v>
      </c>
      <c r="AK592" s="132">
        <f t="shared" ref="AK592:AK598" si="198">AI592-AJ592</f>
        <v>0</v>
      </c>
      <c r="AL592" s="176"/>
      <c r="AM592" s="115" t="s">
        <v>974</v>
      </c>
      <c r="AN592" s="246">
        <v>44886</v>
      </c>
      <c r="AO592" s="259"/>
      <c r="AP592" s="202"/>
      <c r="AQ592" s="202"/>
      <c r="AR592" s="202"/>
    </row>
    <row r="593" s="422" customFormat="1" customHeight="1" spans="1:44">
      <c r="A593" s="106" t="s">
        <v>2156</v>
      </c>
      <c r="B593" s="404" t="s">
        <v>2157</v>
      </c>
      <c r="C593" s="166" t="s">
        <v>2158</v>
      </c>
      <c r="D593" s="193" t="str">
        <f t="shared" si="192"/>
        <v>李涛红410126197601203346</v>
      </c>
      <c r="E593" s="155" t="s">
        <v>2154</v>
      </c>
      <c r="F593" s="115"/>
      <c r="G593" s="115">
        <v>2</v>
      </c>
      <c r="H593" s="115">
        <v>20</v>
      </c>
      <c r="I593" s="115"/>
      <c r="J593" s="115">
        <v>2010</v>
      </c>
      <c r="K593" s="115">
        <v>47.97</v>
      </c>
      <c r="L593" s="239">
        <v>30000</v>
      </c>
      <c r="M593" s="239"/>
      <c r="N593" s="239"/>
      <c r="O593" s="431">
        <v>15403.02</v>
      </c>
      <c r="P593" s="239">
        <v>738883</v>
      </c>
      <c r="Q593" s="464" t="s">
        <v>66</v>
      </c>
      <c r="R593" s="83">
        <v>378883</v>
      </c>
      <c r="S593" s="83"/>
      <c r="T593" s="464">
        <v>360000</v>
      </c>
      <c r="U593" s="83"/>
      <c r="V593" s="83"/>
      <c r="W593" s="83">
        <v>3118</v>
      </c>
      <c r="X593" s="83">
        <v>550</v>
      </c>
      <c r="Y593" s="83"/>
      <c r="Z593" s="83" t="s">
        <v>48</v>
      </c>
      <c r="AA593" s="294"/>
      <c r="AB593" s="83"/>
      <c r="AC593" s="83"/>
      <c r="AD593" s="83"/>
      <c r="AE593" s="401"/>
      <c r="AF593" s="401"/>
      <c r="AG593" s="247">
        <v>43333</v>
      </c>
      <c r="AH593" s="407">
        <f>X593+W593+R593</f>
        <v>382551</v>
      </c>
      <c r="AI593" s="132">
        <f t="shared" si="196"/>
        <v>382551</v>
      </c>
      <c r="AJ593" s="132">
        <f t="shared" si="197"/>
        <v>382551</v>
      </c>
      <c r="AK593" s="132">
        <f t="shared" si="198"/>
        <v>0</v>
      </c>
      <c r="AL593" s="176"/>
      <c r="AM593" s="115" t="s">
        <v>974</v>
      </c>
      <c r="AN593" s="246">
        <v>44886</v>
      </c>
      <c r="AO593" s="259"/>
      <c r="AP593" s="202"/>
      <c r="AQ593" s="202"/>
      <c r="AR593" s="202"/>
    </row>
    <row r="594" s="422" customFormat="1" customHeight="1" spans="1:41">
      <c r="A594" s="115" t="s">
        <v>2159</v>
      </c>
      <c r="B594" s="404" t="s">
        <v>2160</v>
      </c>
      <c r="C594" s="406" t="s">
        <v>2161</v>
      </c>
      <c r="D594" s="193" t="str">
        <f t="shared" si="192"/>
        <v>惠瑞松412827197410125011</v>
      </c>
      <c r="E594" s="155" t="s">
        <v>2162</v>
      </c>
      <c r="F594" s="115"/>
      <c r="G594" s="115">
        <v>2</v>
      </c>
      <c r="H594" s="115">
        <v>10</v>
      </c>
      <c r="I594" s="115"/>
      <c r="J594" s="115">
        <v>1002</v>
      </c>
      <c r="K594" s="115">
        <v>41.82</v>
      </c>
      <c r="L594" s="239">
        <v>30000</v>
      </c>
      <c r="M594" s="239"/>
      <c r="N594" s="239"/>
      <c r="O594" s="431">
        <v>14596.84</v>
      </c>
      <c r="P594" s="239">
        <v>610440</v>
      </c>
      <c r="Q594" s="464" t="s">
        <v>56</v>
      </c>
      <c r="R594" s="83">
        <v>610440</v>
      </c>
      <c r="S594" s="83"/>
      <c r="T594" s="464">
        <v>0</v>
      </c>
      <c r="U594" s="254"/>
      <c r="V594" s="83"/>
      <c r="W594" s="401">
        <v>2718</v>
      </c>
      <c r="X594" s="83">
        <v>550</v>
      </c>
      <c r="Y594" s="83"/>
      <c r="Z594" s="83" t="s">
        <v>48</v>
      </c>
      <c r="AA594" s="294"/>
      <c r="AB594" s="83"/>
      <c r="AC594" s="83"/>
      <c r="AD594" s="83"/>
      <c r="AE594" s="83"/>
      <c r="AF594" s="467"/>
      <c r="AG594" s="294">
        <v>43283</v>
      </c>
      <c r="AH594" s="407">
        <f>R594+W594+X594</f>
        <v>613708</v>
      </c>
      <c r="AI594" s="132">
        <f t="shared" si="196"/>
        <v>613708</v>
      </c>
      <c r="AJ594" s="132">
        <f t="shared" si="197"/>
        <v>613708</v>
      </c>
      <c r="AK594" s="132">
        <f t="shared" si="198"/>
        <v>0</v>
      </c>
      <c r="AL594" s="471"/>
      <c r="AM594" s="133" t="s">
        <v>900</v>
      </c>
      <c r="AN594" s="246">
        <v>44886</v>
      </c>
      <c r="AO594" s="288"/>
    </row>
    <row r="595" s="422" customFormat="1" customHeight="1" spans="1:41">
      <c r="A595" s="115" t="s">
        <v>2163</v>
      </c>
      <c r="B595" s="107" t="s">
        <v>2164</v>
      </c>
      <c r="C595" s="406" t="s">
        <v>2165</v>
      </c>
      <c r="D595" s="193" t="str">
        <f t="shared" si="192"/>
        <v>陈华310110196503076217</v>
      </c>
      <c r="E595" s="155">
        <v>18616179537</v>
      </c>
      <c r="F595" s="115"/>
      <c r="G595" s="115">
        <v>3</v>
      </c>
      <c r="H595" s="115">
        <v>14</v>
      </c>
      <c r="I595" s="115"/>
      <c r="J595" s="115">
        <v>1427</v>
      </c>
      <c r="K595" s="115">
        <v>58.41</v>
      </c>
      <c r="L595" s="115">
        <v>20000</v>
      </c>
      <c r="M595" s="115"/>
      <c r="N595" s="115"/>
      <c r="O595" s="431">
        <v>9694.37</v>
      </c>
      <c r="P595" s="445">
        <v>566248</v>
      </c>
      <c r="Q595" s="464" t="s">
        <v>66</v>
      </c>
      <c r="R595" s="465">
        <v>286248</v>
      </c>
      <c r="S595" s="465"/>
      <c r="T595" s="466">
        <v>280000</v>
      </c>
      <c r="U595" s="485"/>
      <c r="V595" s="466"/>
      <c r="W595" s="466">
        <v>3796</v>
      </c>
      <c r="X595" s="466">
        <v>550</v>
      </c>
      <c r="Y595" s="466"/>
      <c r="Z595" s="83"/>
      <c r="AA595" s="294"/>
      <c r="AB595" s="83">
        <f>3000+1578</f>
        <v>4578</v>
      </c>
      <c r="AC595" s="83"/>
      <c r="AD595" s="83"/>
      <c r="AE595" s="83"/>
      <c r="AF595" s="467"/>
      <c r="AG595" s="294">
        <v>43068</v>
      </c>
      <c r="AH595" s="407">
        <f>R595+W595+X595</f>
        <v>290594</v>
      </c>
      <c r="AI595" s="132">
        <f t="shared" si="196"/>
        <v>295172</v>
      </c>
      <c r="AJ595" s="132">
        <f t="shared" si="197"/>
        <v>290594</v>
      </c>
      <c r="AK595" s="132">
        <f t="shared" si="198"/>
        <v>4578</v>
      </c>
      <c r="AL595" s="471"/>
      <c r="AM595" s="133" t="s">
        <v>900</v>
      </c>
      <c r="AN595" s="246">
        <v>44886</v>
      </c>
      <c r="AO595" s="288"/>
    </row>
    <row r="596" s="422" customFormat="1" customHeight="1" spans="1:41">
      <c r="A596" s="115" t="s">
        <v>2166</v>
      </c>
      <c r="B596" s="115" t="s">
        <v>2167</v>
      </c>
      <c r="C596" s="403" t="s">
        <v>2168</v>
      </c>
      <c r="D596" s="193" t="str">
        <f t="shared" si="192"/>
        <v>秦晨煜412725197508170322</v>
      </c>
      <c r="E596" s="155">
        <v>13938047700</v>
      </c>
      <c r="F596" s="115"/>
      <c r="G596" s="239">
        <v>9</v>
      </c>
      <c r="H596" s="115">
        <v>3</v>
      </c>
      <c r="I596" s="115">
        <v>7</v>
      </c>
      <c r="J596" s="115">
        <v>701</v>
      </c>
      <c r="K596" s="115">
        <v>93.4</v>
      </c>
      <c r="L596" s="115">
        <v>8686</v>
      </c>
      <c r="M596" s="115"/>
      <c r="N596" s="115"/>
      <c r="O596" s="431">
        <v>8585.6</v>
      </c>
      <c r="P596" s="239">
        <v>801895</v>
      </c>
      <c r="Q596" s="464" t="s">
        <v>66</v>
      </c>
      <c r="R596" s="464">
        <v>301895</v>
      </c>
      <c r="S596" s="464"/>
      <c r="T596" s="464" t="s">
        <v>47</v>
      </c>
      <c r="U596" s="464"/>
      <c r="V596" s="464">
        <v>500000</v>
      </c>
      <c r="W596" s="83">
        <v>6071</v>
      </c>
      <c r="X596" s="83">
        <v>80</v>
      </c>
      <c r="Y596" s="83"/>
      <c r="Z596" s="83" t="s">
        <v>48</v>
      </c>
      <c r="AA596" s="294"/>
      <c r="AB596" s="83">
        <v>1350</v>
      </c>
      <c r="AC596" s="83"/>
      <c r="AD596" s="83"/>
      <c r="AE596" s="83"/>
      <c r="AF596" s="467"/>
      <c r="AG596" s="294">
        <v>42984</v>
      </c>
      <c r="AH596" s="407"/>
      <c r="AI596" s="132">
        <f t="shared" si="196"/>
        <v>809396</v>
      </c>
      <c r="AJ596" s="132">
        <f t="shared" si="197"/>
        <v>808046</v>
      </c>
      <c r="AK596" s="132">
        <f t="shared" si="198"/>
        <v>1350</v>
      </c>
      <c r="AL596" s="471"/>
      <c r="AM596" s="133" t="s">
        <v>900</v>
      </c>
      <c r="AN596" s="246">
        <v>44886</v>
      </c>
      <c r="AO596" s="288"/>
    </row>
    <row r="597" s="422" customFormat="1" customHeight="1" spans="1:41">
      <c r="A597" s="115" t="s">
        <v>2169</v>
      </c>
      <c r="B597" s="115" t="s">
        <v>2170</v>
      </c>
      <c r="C597" s="403" t="s">
        <v>2171</v>
      </c>
      <c r="D597" s="193" t="str">
        <f t="shared" si="192"/>
        <v>李瑞敏410123196809250041</v>
      </c>
      <c r="E597" s="166" t="s">
        <v>2172</v>
      </c>
      <c r="F597" s="156"/>
      <c r="G597" s="239">
        <v>9</v>
      </c>
      <c r="H597" s="115">
        <v>3</v>
      </c>
      <c r="I597" s="115">
        <v>20</v>
      </c>
      <c r="J597" s="115">
        <v>2002</v>
      </c>
      <c r="K597" s="115">
        <v>99.56</v>
      </c>
      <c r="L597" s="115">
        <v>19570</v>
      </c>
      <c r="M597" s="115"/>
      <c r="N597" s="115"/>
      <c r="O597" s="431">
        <v>16572.92</v>
      </c>
      <c r="P597" s="239">
        <v>1650000</v>
      </c>
      <c r="Q597" s="464" t="s">
        <v>56</v>
      </c>
      <c r="R597" s="464">
        <v>1650000</v>
      </c>
      <c r="S597" s="464"/>
      <c r="T597" s="464" t="s">
        <v>47</v>
      </c>
      <c r="U597" s="501"/>
      <c r="V597" s="83"/>
      <c r="W597" s="83">
        <v>6471</v>
      </c>
      <c r="X597" s="83">
        <v>80</v>
      </c>
      <c r="Y597" s="83"/>
      <c r="Z597" s="83" t="s">
        <v>48</v>
      </c>
      <c r="AA597" s="294"/>
      <c r="AB597" s="83"/>
      <c r="AC597" s="83"/>
      <c r="AD597" s="83"/>
      <c r="AE597" s="83"/>
      <c r="AF597" s="467"/>
      <c r="AG597" s="294">
        <v>43093</v>
      </c>
      <c r="AH597" s="407"/>
      <c r="AI597" s="132">
        <f t="shared" si="196"/>
        <v>1656551</v>
      </c>
      <c r="AJ597" s="132">
        <f t="shared" si="197"/>
        <v>1656551</v>
      </c>
      <c r="AK597" s="132">
        <f t="shared" si="198"/>
        <v>0</v>
      </c>
      <c r="AL597" s="471"/>
      <c r="AM597" s="133" t="s">
        <v>900</v>
      </c>
      <c r="AN597" s="246">
        <v>44886</v>
      </c>
      <c r="AO597" s="288"/>
    </row>
    <row r="598" s="422" customFormat="1" customHeight="1" spans="1:41">
      <c r="A598" s="115" t="s">
        <v>2173</v>
      </c>
      <c r="B598" s="107" t="s">
        <v>2174</v>
      </c>
      <c r="C598" s="406" t="s">
        <v>2175</v>
      </c>
      <c r="D598" s="193" t="str">
        <f t="shared" si="192"/>
        <v>梁风枝/赵梁411329196008110102</v>
      </c>
      <c r="E598" s="155">
        <v>13703771872</v>
      </c>
      <c r="F598" s="115"/>
      <c r="G598" s="115">
        <v>3</v>
      </c>
      <c r="H598" s="115">
        <v>12</v>
      </c>
      <c r="I598" s="115"/>
      <c r="J598" s="115">
        <v>1225</v>
      </c>
      <c r="K598" s="115">
        <v>66.94</v>
      </c>
      <c r="L598" s="115">
        <v>20000</v>
      </c>
      <c r="M598" s="115"/>
      <c r="N598" s="115"/>
      <c r="O598" s="431">
        <v>13105</v>
      </c>
      <c r="P598" s="445">
        <v>877249</v>
      </c>
      <c r="Q598" s="464" t="s">
        <v>56</v>
      </c>
      <c r="R598" s="405">
        <v>877249</v>
      </c>
      <c r="S598" s="405"/>
      <c r="T598" s="466" t="s">
        <v>47</v>
      </c>
      <c r="U598" s="485"/>
      <c r="V598" s="466"/>
      <c r="W598" s="466">
        <v>4351</v>
      </c>
      <c r="X598" s="466">
        <v>560</v>
      </c>
      <c r="Y598" s="466"/>
      <c r="Z598" s="83" t="s">
        <v>48</v>
      </c>
      <c r="AA598" s="294"/>
      <c r="AB598" s="83"/>
      <c r="AC598" s="83"/>
      <c r="AD598" s="83"/>
      <c r="AE598" s="83"/>
      <c r="AF598" s="467"/>
      <c r="AG598" s="294">
        <v>43839</v>
      </c>
      <c r="AH598" s="407"/>
      <c r="AI598" s="132">
        <f t="shared" si="196"/>
        <v>882160</v>
      </c>
      <c r="AJ598" s="132">
        <f t="shared" si="197"/>
        <v>882160</v>
      </c>
      <c r="AK598" s="132">
        <f t="shared" si="198"/>
        <v>0</v>
      </c>
      <c r="AL598" s="471"/>
      <c r="AM598" s="133" t="s">
        <v>900</v>
      </c>
      <c r="AN598" s="246">
        <v>44886</v>
      </c>
      <c r="AO598" s="288"/>
    </row>
    <row r="599" s="422" customFormat="1" customHeight="1" spans="1:41">
      <c r="A599" s="115" t="s">
        <v>2176</v>
      </c>
      <c r="B599" s="107" t="s">
        <v>2177</v>
      </c>
      <c r="C599" s="406" t="s">
        <v>2178</v>
      </c>
      <c r="D599" s="193" t="str">
        <f t="shared" si="192"/>
        <v>韩卓君41142419851001053X</v>
      </c>
      <c r="E599" s="155">
        <v>15839066606</v>
      </c>
      <c r="F599" s="115"/>
      <c r="G599" s="115">
        <v>3</v>
      </c>
      <c r="H599" s="115">
        <v>10</v>
      </c>
      <c r="I599" s="115"/>
      <c r="J599" s="115">
        <v>1006</v>
      </c>
      <c r="K599" s="115">
        <v>61.66</v>
      </c>
      <c r="L599" s="115">
        <v>20000</v>
      </c>
      <c r="M599" s="115"/>
      <c r="N599" s="115"/>
      <c r="O599" s="431">
        <v>9073.24</v>
      </c>
      <c r="P599" s="445">
        <v>559456</v>
      </c>
      <c r="Q599" s="464" t="s">
        <v>66</v>
      </c>
      <c r="R599" s="465">
        <v>289456</v>
      </c>
      <c r="S599" s="465"/>
      <c r="T599" s="466">
        <v>270000</v>
      </c>
      <c r="U599" s="466"/>
      <c r="V599" s="466"/>
      <c r="W599" s="466">
        <v>4007</v>
      </c>
      <c r="X599" s="466">
        <v>550</v>
      </c>
      <c r="Y599" s="466"/>
      <c r="Z599" s="83"/>
      <c r="AA599" s="294"/>
      <c r="AB599" s="83"/>
      <c r="AC599" s="83"/>
      <c r="AD599" s="83"/>
      <c r="AE599" s="83"/>
      <c r="AF599" s="467"/>
      <c r="AG599" s="294">
        <v>44022</v>
      </c>
      <c r="AH599" s="407">
        <f>R599+W599+X599</f>
        <v>294013</v>
      </c>
      <c r="AI599" s="132">
        <f t="shared" ref="AI599:AI605" si="199">R599+V599+W599+X599+AA599+AB599+AC599+AD599</f>
        <v>294013</v>
      </c>
      <c r="AJ599" s="132">
        <f t="shared" ref="AJ599:AJ605" si="200">R599+W599+V599+X599+AA599</f>
        <v>294013</v>
      </c>
      <c r="AK599" s="132">
        <f t="shared" ref="AK599:AK605" si="201">AI599-AJ599</f>
        <v>0</v>
      </c>
      <c r="AL599" s="471"/>
      <c r="AM599" s="133" t="s">
        <v>900</v>
      </c>
      <c r="AN599" s="246">
        <v>44886</v>
      </c>
      <c r="AO599" s="288"/>
    </row>
    <row r="600" s="422" customFormat="1" customHeight="1" spans="1:41">
      <c r="A600" s="115" t="s">
        <v>2179</v>
      </c>
      <c r="B600" s="107" t="s">
        <v>2180</v>
      </c>
      <c r="C600" s="406" t="s">
        <v>2181</v>
      </c>
      <c r="D600" s="193" t="str">
        <f t="shared" si="192"/>
        <v>楚秋玲411123196609177063</v>
      </c>
      <c r="E600" s="155" t="s">
        <v>2182</v>
      </c>
      <c r="F600" s="115" t="s">
        <v>2183</v>
      </c>
      <c r="G600" s="115">
        <v>3</v>
      </c>
      <c r="H600" s="115">
        <v>9</v>
      </c>
      <c r="I600" s="115"/>
      <c r="J600" s="115">
        <v>927</v>
      </c>
      <c r="K600" s="115">
        <v>58.41</v>
      </c>
      <c r="L600" s="115">
        <v>20000</v>
      </c>
      <c r="M600" s="115"/>
      <c r="N600" s="115"/>
      <c r="O600" s="431">
        <v>9174.7</v>
      </c>
      <c r="P600" s="445">
        <v>535894</v>
      </c>
      <c r="Q600" s="464" t="s">
        <v>66</v>
      </c>
      <c r="R600" s="484">
        <v>275894</v>
      </c>
      <c r="S600" s="484"/>
      <c r="T600" s="466" t="s">
        <v>47</v>
      </c>
      <c r="U600" s="485"/>
      <c r="V600" s="405">
        <v>260000</v>
      </c>
      <c r="W600" s="466">
        <v>3796</v>
      </c>
      <c r="X600" s="466">
        <v>550</v>
      </c>
      <c r="Y600" s="466"/>
      <c r="Z600" s="83" t="s">
        <v>48</v>
      </c>
      <c r="AA600" s="294"/>
      <c r="AB600" s="83"/>
      <c r="AC600" s="83"/>
      <c r="AD600" s="83"/>
      <c r="AE600" s="83"/>
      <c r="AF600" s="467"/>
      <c r="AG600" s="294">
        <v>44018</v>
      </c>
      <c r="AH600" s="407"/>
      <c r="AI600" s="132">
        <f t="shared" si="199"/>
        <v>540240</v>
      </c>
      <c r="AJ600" s="132">
        <f t="shared" si="200"/>
        <v>540240</v>
      </c>
      <c r="AK600" s="132">
        <f t="shared" si="201"/>
        <v>0</v>
      </c>
      <c r="AL600" s="471"/>
      <c r="AM600" s="133" t="s">
        <v>900</v>
      </c>
      <c r="AN600" s="246">
        <v>44886</v>
      </c>
      <c r="AO600" s="288"/>
    </row>
    <row r="601" s="422" customFormat="1" customHeight="1" spans="1:41">
      <c r="A601" s="115" t="s">
        <v>2184</v>
      </c>
      <c r="B601" s="107" t="s">
        <v>2180</v>
      </c>
      <c r="C601" s="406" t="s">
        <v>2181</v>
      </c>
      <c r="D601" s="193" t="str">
        <f t="shared" si="192"/>
        <v>楚秋玲411123196609177063</v>
      </c>
      <c r="E601" s="155">
        <v>18039512766</v>
      </c>
      <c r="F601" s="115"/>
      <c r="G601" s="115">
        <v>3</v>
      </c>
      <c r="H601" s="115">
        <v>9</v>
      </c>
      <c r="I601" s="115"/>
      <c r="J601" s="115">
        <v>913</v>
      </c>
      <c r="K601" s="115">
        <v>63.92</v>
      </c>
      <c r="L601" s="115">
        <v>20000</v>
      </c>
      <c r="M601" s="115"/>
      <c r="N601" s="115"/>
      <c r="O601" s="431">
        <v>8634.73</v>
      </c>
      <c r="P601" s="445">
        <v>551932</v>
      </c>
      <c r="Q601" s="464" t="s">
        <v>66</v>
      </c>
      <c r="R601" s="484">
        <v>281932</v>
      </c>
      <c r="S601" s="484"/>
      <c r="T601" s="466" t="s">
        <v>47</v>
      </c>
      <c r="U601" s="466"/>
      <c r="V601" s="405">
        <v>270000</v>
      </c>
      <c r="W601" s="466">
        <v>4154</v>
      </c>
      <c r="X601" s="466">
        <v>550</v>
      </c>
      <c r="Y601" s="466"/>
      <c r="Z601" s="83" t="s">
        <v>48</v>
      </c>
      <c r="AA601" s="294"/>
      <c r="AB601" s="83"/>
      <c r="AC601" s="83"/>
      <c r="AD601" s="83"/>
      <c r="AE601" s="83"/>
      <c r="AF601" s="467"/>
      <c r="AG601" s="294">
        <v>44018</v>
      </c>
      <c r="AH601" s="407"/>
      <c r="AI601" s="132">
        <f t="shared" si="199"/>
        <v>556636</v>
      </c>
      <c r="AJ601" s="132">
        <f t="shared" si="200"/>
        <v>556636</v>
      </c>
      <c r="AK601" s="132">
        <f t="shared" si="201"/>
        <v>0</v>
      </c>
      <c r="AL601" s="471"/>
      <c r="AM601" s="133" t="s">
        <v>900</v>
      </c>
      <c r="AN601" s="246">
        <v>44886</v>
      </c>
      <c r="AO601" s="288"/>
    </row>
    <row r="602" s="422" customFormat="1" customHeight="1" spans="1:41">
      <c r="A602" s="115" t="s">
        <v>2185</v>
      </c>
      <c r="B602" s="155" t="s">
        <v>2186</v>
      </c>
      <c r="C602" s="406" t="s">
        <v>2187</v>
      </c>
      <c r="D602" s="193" t="str">
        <f t="shared" si="192"/>
        <v>樊静雯410183200104023522</v>
      </c>
      <c r="E602" s="166" t="s">
        <v>2188</v>
      </c>
      <c r="F602" s="156"/>
      <c r="G602" s="239">
        <v>6</v>
      </c>
      <c r="H602" s="115">
        <v>1</v>
      </c>
      <c r="I602" s="115">
        <v>13</v>
      </c>
      <c r="J602" s="115">
        <v>1305</v>
      </c>
      <c r="K602" s="115">
        <v>93.07</v>
      </c>
      <c r="L602" s="115">
        <v>19680</v>
      </c>
      <c r="M602" s="115"/>
      <c r="N602" s="115"/>
      <c r="O602" s="431">
        <v>11000</v>
      </c>
      <c r="P602" s="445">
        <v>1023770</v>
      </c>
      <c r="Q602" s="464" t="s">
        <v>56</v>
      </c>
      <c r="R602" s="83">
        <v>1023770</v>
      </c>
      <c r="S602" s="83"/>
      <c r="T602" s="464" t="s">
        <v>47</v>
      </c>
      <c r="U602" s="83"/>
      <c r="V602" s="83"/>
      <c r="W602" s="83">
        <v>6049</v>
      </c>
      <c r="X602" s="83">
        <v>80</v>
      </c>
      <c r="Y602" s="83"/>
      <c r="Z602" s="83" t="s">
        <v>48</v>
      </c>
      <c r="AA602" s="294"/>
      <c r="AB602" s="83"/>
      <c r="AC602" s="83"/>
      <c r="AD602" s="83"/>
      <c r="AE602" s="83"/>
      <c r="AF602" s="467"/>
      <c r="AG602" s="294">
        <v>43622</v>
      </c>
      <c r="AH602" s="407"/>
      <c r="AI602" s="132">
        <f t="shared" si="199"/>
        <v>1029899</v>
      </c>
      <c r="AJ602" s="132">
        <f t="shared" si="200"/>
        <v>1029899</v>
      </c>
      <c r="AK602" s="132">
        <f t="shared" si="201"/>
        <v>0</v>
      </c>
      <c r="AL602" s="471"/>
      <c r="AM602" s="133" t="s">
        <v>900</v>
      </c>
      <c r="AN602" s="246">
        <v>44886</v>
      </c>
      <c r="AO602" s="288"/>
    </row>
    <row r="603" s="422" customFormat="1" customHeight="1" spans="1:41">
      <c r="A603" s="115" t="s">
        <v>2189</v>
      </c>
      <c r="B603" s="107" t="s">
        <v>2190</v>
      </c>
      <c r="C603" s="406" t="s">
        <v>2191</v>
      </c>
      <c r="D603" s="193" t="str">
        <f t="shared" si="192"/>
        <v>钮会珍412726199210127562</v>
      </c>
      <c r="E603" s="155">
        <v>15039419229</v>
      </c>
      <c r="F603" s="115"/>
      <c r="G603" s="115">
        <v>3</v>
      </c>
      <c r="H603" s="115">
        <v>14</v>
      </c>
      <c r="I603" s="115"/>
      <c r="J603" s="115">
        <v>1420</v>
      </c>
      <c r="K603" s="115">
        <v>73.25</v>
      </c>
      <c r="L603" s="115">
        <v>20000</v>
      </c>
      <c r="M603" s="115"/>
      <c r="N603" s="115"/>
      <c r="O603" s="431">
        <v>8735.5</v>
      </c>
      <c r="P603" s="445">
        <v>639875</v>
      </c>
      <c r="Q603" s="464" t="s">
        <v>66</v>
      </c>
      <c r="R603" s="484">
        <v>324875</v>
      </c>
      <c r="S603" s="484"/>
      <c r="T603" s="466" t="s">
        <v>47</v>
      </c>
      <c r="U603" s="466"/>
      <c r="V603" s="405">
        <v>315000</v>
      </c>
      <c r="W603" s="466">
        <v>4761</v>
      </c>
      <c r="X603" s="466">
        <v>550</v>
      </c>
      <c r="Y603" s="466"/>
      <c r="Z603" s="83" t="s">
        <v>48</v>
      </c>
      <c r="AA603" s="294"/>
      <c r="AB603" s="83">
        <v>230</v>
      </c>
      <c r="AC603" s="83"/>
      <c r="AD603" s="83"/>
      <c r="AE603" s="83"/>
      <c r="AF603" s="467"/>
      <c r="AG603" s="294">
        <v>42507</v>
      </c>
      <c r="AH603" s="407"/>
      <c r="AI603" s="132">
        <f t="shared" si="199"/>
        <v>645416</v>
      </c>
      <c r="AJ603" s="132">
        <f t="shared" si="200"/>
        <v>645186</v>
      </c>
      <c r="AK603" s="132">
        <f t="shared" si="201"/>
        <v>230</v>
      </c>
      <c r="AL603" s="471"/>
      <c r="AM603" s="133" t="s">
        <v>900</v>
      </c>
      <c r="AN603" s="246">
        <v>44886</v>
      </c>
      <c r="AO603" s="288"/>
    </row>
    <row r="604" s="422" customFormat="1" customHeight="1" spans="1:41">
      <c r="A604" s="115" t="s">
        <v>2192</v>
      </c>
      <c r="B604" s="339" t="s">
        <v>2193</v>
      </c>
      <c r="C604" s="460" t="s">
        <v>2194</v>
      </c>
      <c r="D604" s="193" t="str">
        <f t="shared" si="192"/>
        <v>李晶莹413001197203270025</v>
      </c>
      <c r="E604" s="107">
        <v>13523595632</v>
      </c>
      <c r="F604" s="194"/>
      <c r="G604" s="106">
        <v>11</v>
      </c>
      <c r="H604" s="106">
        <v>3</v>
      </c>
      <c r="I604" s="106">
        <v>14</v>
      </c>
      <c r="J604" s="106">
        <v>1401</v>
      </c>
      <c r="K604" s="106">
        <v>149.28</v>
      </c>
      <c r="L604" s="106">
        <v>9100</v>
      </c>
      <c r="M604" s="106"/>
      <c r="N604" s="106"/>
      <c r="O604" s="447">
        <v>9000</v>
      </c>
      <c r="P604" s="106">
        <v>1343520</v>
      </c>
      <c r="Q604" s="106" t="s">
        <v>66</v>
      </c>
      <c r="R604" s="110">
        <v>400000</v>
      </c>
      <c r="S604" s="110"/>
      <c r="T604" s="110">
        <v>943520</v>
      </c>
      <c r="U604" s="513"/>
      <c r="V604" s="106"/>
      <c r="W604" s="106"/>
      <c r="X604" s="106"/>
      <c r="Y604" s="106"/>
      <c r="Z604" s="106"/>
      <c r="AA604" s="290"/>
      <c r="AB604" s="106"/>
      <c r="AC604" s="106"/>
      <c r="AD604" s="106"/>
      <c r="AE604" s="83"/>
      <c r="AF604" s="467"/>
      <c r="AG604" s="294">
        <v>42211</v>
      </c>
      <c r="AH604" s="407"/>
      <c r="AI604" s="132">
        <f t="shared" ref="AI604:AI610" si="202">R604+V604+W604+X604+AA604+AB604+AC604+AD604</f>
        <v>400000</v>
      </c>
      <c r="AJ604" s="132">
        <f t="shared" ref="AJ604:AJ610" si="203">R604+W604+V604+X604+AA604</f>
        <v>400000</v>
      </c>
      <c r="AK604" s="132">
        <f t="shared" ref="AK604:AK610" si="204">AI604-AJ604</f>
        <v>0</v>
      </c>
      <c r="AL604" s="471"/>
      <c r="AM604" s="133" t="s">
        <v>900</v>
      </c>
      <c r="AN604" s="246">
        <v>44886</v>
      </c>
      <c r="AO604" s="288"/>
    </row>
    <row r="605" s="422" customFormat="1" customHeight="1" spans="1:41">
      <c r="A605" s="115" t="s">
        <v>2195</v>
      </c>
      <c r="B605" s="107" t="s">
        <v>2196</v>
      </c>
      <c r="C605" s="406" t="s">
        <v>2197</v>
      </c>
      <c r="D605" s="193" t="str">
        <f t="shared" si="192"/>
        <v>杨新平412823196502167067</v>
      </c>
      <c r="E605" s="166" t="s">
        <v>2198</v>
      </c>
      <c r="F605" s="156"/>
      <c r="G605" s="115">
        <v>3</v>
      </c>
      <c r="H605" s="115">
        <v>11</v>
      </c>
      <c r="I605" s="115"/>
      <c r="J605" s="115">
        <v>1130</v>
      </c>
      <c r="K605" s="115">
        <v>57.33</v>
      </c>
      <c r="L605" s="115">
        <v>20000</v>
      </c>
      <c r="M605" s="115"/>
      <c r="N605" s="115"/>
      <c r="O605" s="431">
        <v>15145.12</v>
      </c>
      <c r="P605" s="445">
        <v>868270</v>
      </c>
      <c r="Q605" s="464" t="s">
        <v>56</v>
      </c>
      <c r="R605" s="465">
        <v>868270</v>
      </c>
      <c r="S605" s="465"/>
      <c r="T605" s="466" t="s">
        <v>47</v>
      </c>
      <c r="U605" s="466"/>
      <c r="V605" s="466"/>
      <c r="W605" s="466">
        <v>3726</v>
      </c>
      <c r="X605" s="466">
        <v>550</v>
      </c>
      <c r="Y605" s="466"/>
      <c r="Z605" s="83" t="s">
        <v>48</v>
      </c>
      <c r="AA605" s="294"/>
      <c r="AB605" s="83"/>
      <c r="AC605" s="83"/>
      <c r="AD605" s="83"/>
      <c r="AE605" s="83"/>
      <c r="AF605" s="467"/>
      <c r="AG605" s="294">
        <v>43200</v>
      </c>
      <c r="AH605" s="407">
        <f>R605+W605+X605</f>
        <v>872546</v>
      </c>
      <c r="AI605" s="132">
        <f t="shared" si="202"/>
        <v>872546</v>
      </c>
      <c r="AJ605" s="132">
        <f t="shared" si="203"/>
        <v>872546</v>
      </c>
      <c r="AK605" s="132">
        <f t="shared" si="204"/>
        <v>0</v>
      </c>
      <c r="AL605" s="471"/>
      <c r="AM605" s="133" t="s">
        <v>900</v>
      </c>
      <c r="AN605" s="246">
        <v>44886</v>
      </c>
      <c r="AO605" s="288"/>
    </row>
    <row r="606" s="422" customFormat="1" customHeight="1" spans="1:41">
      <c r="A606" s="115" t="s">
        <v>2199</v>
      </c>
      <c r="B606" s="107" t="s">
        <v>2200</v>
      </c>
      <c r="C606" s="406" t="s">
        <v>2201</v>
      </c>
      <c r="D606" s="193" t="str">
        <f t="shared" si="192"/>
        <v>张垣410305198001080526</v>
      </c>
      <c r="E606" s="166" t="s">
        <v>2202</v>
      </c>
      <c r="F606" s="156"/>
      <c r="G606" s="115">
        <v>3</v>
      </c>
      <c r="H606" s="115">
        <v>10</v>
      </c>
      <c r="I606" s="115"/>
      <c r="J606" s="115">
        <v>1001</v>
      </c>
      <c r="K606" s="115">
        <v>68.05</v>
      </c>
      <c r="L606" s="115">
        <v>20000</v>
      </c>
      <c r="M606" s="115"/>
      <c r="N606" s="115"/>
      <c r="O606" s="431">
        <v>9095.47830985915</v>
      </c>
      <c r="P606" s="445">
        <v>618947</v>
      </c>
      <c r="Q606" s="464" t="s">
        <v>66</v>
      </c>
      <c r="R606" s="484">
        <v>318947</v>
      </c>
      <c r="S606" s="484"/>
      <c r="T606" s="466" t="s">
        <v>47</v>
      </c>
      <c r="U606" s="466"/>
      <c r="V606" s="405">
        <v>300000</v>
      </c>
      <c r="W606" s="466">
        <v>4423</v>
      </c>
      <c r="X606" s="466">
        <v>550</v>
      </c>
      <c r="Y606" s="466"/>
      <c r="Z606" s="83" t="s">
        <v>48</v>
      </c>
      <c r="AA606" s="294"/>
      <c r="AB606" s="83">
        <f>1250+154+24757</f>
        <v>26161</v>
      </c>
      <c r="AC606" s="83"/>
      <c r="AD606" s="83"/>
      <c r="AE606" s="83"/>
      <c r="AF606" s="467"/>
      <c r="AG606" s="294">
        <v>43805</v>
      </c>
      <c r="AH606" s="407"/>
      <c r="AI606" s="132">
        <f t="shared" si="202"/>
        <v>650081</v>
      </c>
      <c r="AJ606" s="132">
        <f t="shared" si="203"/>
        <v>623920</v>
      </c>
      <c r="AK606" s="132">
        <f t="shared" si="204"/>
        <v>26161</v>
      </c>
      <c r="AL606" s="471"/>
      <c r="AM606" s="133" t="s">
        <v>900</v>
      </c>
      <c r="AN606" s="246">
        <v>44886</v>
      </c>
      <c r="AO606" s="288"/>
    </row>
    <row r="607" s="422" customFormat="1" customHeight="1" spans="1:41">
      <c r="A607" s="115" t="s">
        <v>2203</v>
      </c>
      <c r="B607" s="155" t="s">
        <v>2204</v>
      </c>
      <c r="C607" s="406" t="s">
        <v>2205</v>
      </c>
      <c r="D607" s="193" t="str">
        <f t="shared" si="192"/>
        <v>姚瑞菁41302619880922034X</v>
      </c>
      <c r="E607" s="155">
        <v>15010168015</v>
      </c>
      <c r="F607" s="115" t="s">
        <v>2206</v>
      </c>
      <c r="G607" s="239">
        <v>6</v>
      </c>
      <c r="H607" s="115">
        <v>1</v>
      </c>
      <c r="I607" s="115">
        <v>13</v>
      </c>
      <c r="J607" s="115">
        <v>1307</v>
      </c>
      <c r="K607" s="115">
        <v>86.33</v>
      </c>
      <c r="L607" s="115">
        <v>17900</v>
      </c>
      <c r="M607" s="115"/>
      <c r="N607" s="115"/>
      <c r="O607" s="431">
        <v>15000</v>
      </c>
      <c r="P607" s="445">
        <v>1294950</v>
      </c>
      <c r="Q607" s="464" t="s">
        <v>46</v>
      </c>
      <c r="R607" s="83">
        <v>894950</v>
      </c>
      <c r="S607" s="83"/>
      <c r="T607" s="464" t="s">
        <v>47</v>
      </c>
      <c r="U607" s="501"/>
      <c r="V607" s="464">
        <v>400000</v>
      </c>
      <c r="W607" s="464">
        <v>5611</v>
      </c>
      <c r="X607" s="464">
        <v>80</v>
      </c>
      <c r="Y607" s="464"/>
      <c r="Z607" s="83" t="s">
        <v>48</v>
      </c>
      <c r="AA607" s="294"/>
      <c r="AB607" s="83"/>
      <c r="AC607" s="83"/>
      <c r="AD607" s="83"/>
      <c r="AE607" s="83"/>
      <c r="AF607" s="467"/>
      <c r="AG607" s="294">
        <v>43228</v>
      </c>
      <c r="AH607" s="407">
        <f>R607+W607+X607</f>
        <v>900641</v>
      </c>
      <c r="AI607" s="132">
        <f t="shared" si="202"/>
        <v>1300641</v>
      </c>
      <c r="AJ607" s="132">
        <f t="shared" si="203"/>
        <v>1300641</v>
      </c>
      <c r="AK607" s="132">
        <f t="shared" si="204"/>
        <v>0</v>
      </c>
      <c r="AL607" s="471"/>
      <c r="AM607" s="133" t="s">
        <v>900</v>
      </c>
      <c r="AN607" s="246">
        <v>44886</v>
      </c>
      <c r="AO607" s="288"/>
    </row>
    <row r="608" s="422" customFormat="1" customHeight="1" spans="1:41">
      <c r="A608" s="115" t="s">
        <v>2207</v>
      </c>
      <c r="B608" s="107" t="s">
        <v>2208</v>
      </c>
      <c r="C608" s="406" t="s">
        <v>2209</v>
      </c>
      <c r="D608" s="193" t="str">
        <f t="shared" si="192"/>
        <v>睢超娜41022319860923202X</v>
      </c>
      <c r="E608" s="155">
        <v>13460677157</v>
      </c>
      <c r="F608" s="115"/>
      <c r="G608" s="115">
        <v>3</v>
      </c>
      <c r="H608" s="115">
        <v>28</v>
      </c>
      <c r="I608" s="115"/>
      <c r="J608" s="115">
        <v>2832</v>
      </c>
      <c r="K608" s="115">
        <v>55.78</v>
      </c>
      <c r="L608" s="239">
        <v>20000</v>
      </c>
      <c r="M608" s="239"/>
      <c r="N608" s="239"/>
      <c r="O608" s="431">
        <v>12500</v>
      </c>
      <c r="P608" s="445">
        <v>697250</v>
      </c>
      <c r="Q608" s="464" t="s">
        <v>56</v>
      </c>
      <c r="R608" s="465">
        <v>697250</v>
      </c>
      <c r="S608" s="465"/>
      <c r="T608" s="466" t="s">
        <v>47</v>
      </c>
      <c r="U608" s="466"/>
      <c r="V608" s="466"/>
      <c r="W608" s="466">
        <v>3625</v>
      </c>
      <c r="X608" s="466">
        <v>550</v>
      </c>
      <c r="Y608" s="466"/>
      <c r="Z608" s="83" t="s">
        <v>48</v>
      </c>
      <c r="AA608" s="294"/>
      <c r="AB608" s="83"/>
      <c r="AC608" s="83"/>
      <c r="AD608" s="83"/>
      <c r="AE608" s="83"/>
      <c r="AF608" s="467"/>
      <c r="AG608" s="294">
        <v>42933</v>
      </c>
      <c r="AH608" s="407"/>
      <c r="AI608" s="132">
        <f t="shared" si="202"/>
        <v>701425</v>
      </c>
      <c r="AJ608" s="132">
        <f t="shared" si="203"/>
        <v>701425</v>
      </c>
      <c r="AK608" s="132">
        <f t="shared" si="204"/>
        <v>0</v>
      </c>
      <c r="AL608" s="471"/>
      <c r="AM608" s="133" t="s">
        <v>900</v>
      </c>
      <c r="AN608" s="246">
        <v>44886</v>
      </c>
      <c r="AO608" s="288"/>
    </row>
    <row r="609" s="422" customFormat="1" customHeight="1" spans="1:41">
      <c r="A609" s="115" t="s">
        <v>2210</v>
      </c>
      <c r="B609" s="107" t="s">
        <v>2211</v>
      </c>
      <c r="C609" s="406" t="s">
        <v>2212</v>
      </c>
      <c r="D609" s="193" t="str">
        <f t="shared" si="192"/>
        <v>邴武410105196811121051</v>
      </c>
      <c r="E609" s="155">
        <v>13903713589</v>
      </c>
      <c r="F609" s="115"/>
      <c r="G609" s="115">
        <v>3</v>
      </c>
      <c r="H609" s="115">
        <v>7</v>
      </c>
      <c r="I609" s="115"/>
      <c r="J609" s="115">
        <v>723</v>
      </c>
      <c r="K609" s="115">
        <v>59.07</v>
      </c>
      <c r="L609" s="115">
        <v>20000</v>
      </c>
      <c r="M609" s="115"/>
      <c r="N609" s="115"/>
      <c r="O609" s="431">
        <v>9167.16</v>
      </c>
      <c r="P609" s="445">
        <v>541504</v>
      </c>
      <c r="Q609" s="464" t="s">
        <v>56</v>
      </c>
      <c r="R609" s="465">
        <v>541504</v>
      </c>
      <c r="S609" s="465"/>
      <c r="T609" s="466" t="s">
        <v>47</v>
      </c>
      <c r="U609" s="466"/>
      <c r="V609" s="466"/>
      <c r="W609" s="466">
        <v>3839</v>
      </c>
      <c r="X609" s="466">
        <v>550</v>
      </c>
      <c r="Y609" s="466"/>
      <c r="Z609" s="83" t="s">
        <v>48</v>
      </c>
      <c r="AA609" s="294"/>
      <c r="AB609" s="83"/>
      <c r="AC609" s="83"/>
      <c r="AD609" s="83"/>
      <c r="AE609" s="83"/>
      <c r="AF609" s="467"/>
      <c r="AG609" s="294">
        <v>43068</v>
      </c>
      <c r="AH609" s="407">
        <f>R609+W609+X609</f>
        <v>545893</v>
      </c>
      <c r="AI609" s="132">
        <f t="shared" si="202"/>
        <v>545893</v>
      </c>
      <c r="AJ609" s="132">
        <f t="shared" si="203"/>
        <v>545893</v>
      </c>
      <c r="AK609" s="132">
        <f t="shared" si="204"/>
        <v>0</v>
      </c>
      <c r="AL609" s="471"/>
      <c r="AM609" s="133" t="s">
        <v>900</v>
      </c>
      <c r="AN609" s="246">
        <v>44886</v>
      </c>
      <c r="AO609" s="288"/>
    </row>
    <row r="610" s="422" customFormat="1" customHeight="1" spans="1:41">
      <c r="A610" s="115" t="s">
        <v>2213</v>
      </c>
      <c r="B610" s="107" t="s">
        <v>2214</v>
      </c>
      <c r="C610" s="406" t="s">
        <v>2215</v>
      </c>
      <c r="D610" s="193" t="str">
        <f t="shared" si="192"/>
        <v>刘扬41041119811204554X</v>
      </c>
      <c r="E610" s="166" t="s">
        <v>2216</v>
      </c>
      <c r="F610" s="156"/>
      <c r="G610" s="115">
        <v>3</v>
      </c>
      <c r="H610" s="115">
        <v>17</v>
      </c>
      <c r="I610" s="115"/>
      <c r="J610" s="115">
        <v>1729</v>
      </c>
      <c r="K610" s="115">
        <v>57.45</v>
      </c>
      <c r="L610" s="115">
        <v>20000</v>
      </c>
      <c r="M610" s="115"/>
      <c r="N610" s="115"/>
      <c r="O610" s="431">
        <v>12600</v>
      </c>
      <c r="P610" s="445">
        <v>723870</v>
      </c>
      <c r="Q610" s="464" t="s">
        <v>66</v>
      </c>
      <c r="R610" s="465">
        <v>373870</v>
      </c>
      <c r="S610" s="465"/>
      <c r="T610" s="464">
        <v>350000</v>
      </c>
      <c r="U610" s="466"/>
      <c r="V610" s="466"/>
      <c r="W610" s="466">
        <v>3734</v>
      </c>
      <c r="X610" s="466">
        <v>550</v>
      </c>
      <c r="Y610" s="466"/>
      <c r="Z610" s="83"/>
      <c r="AA610" s="294"/>
      <c r="AB610" s="83"/>
      <c r="AC610" s="83"/>
      <c r="AD610" s="83"/>
      <c r="AE610" s="83"/>
      <c r="AF610" s="467"/>
      <c r="AG610" s="294">
        <v>42722</v>
      </c>
      <c r="AH610" s="407"/>
      <c r="AI610" s="132">
        <f t="shared" si="202"/>
        <v>378154</v>
      </c>
      <c r="AJ610" s="132">
        <f t="shared" si="203"/>
        <v>378154</v>
      </c>
      <c r="AK610" s="132">
        <f t="shared" si="204"/>
        <v>0</v>
      </c>
      <c r="AL610" s="471"/>
      <c r="AM610" s="133" t="s">
        <v>900</v>
      </c>
      <c r="AN610" s="246">
        <v>44886</v>
      </c>
      <c r="AO610" s="288"/>
    </row>
    <row r="611" s="422" customFormat="1" customHeight="1" spans="1:41">
      <c r="A611" s="115" t="s">
        <v>2217</v>
      </c>
      <c r="B611" s="107" t="s">
        <v>2218</v>
      </c>
      <c r="C611" s="406" t="s">
        <v>2219</v>
      </c>
      <c r="D611" s="193" t="str">
        <f t="shared" si="192"/>
        <v>王志刚410224198103281656</v>
      </c>
      <c r="E611" s="166" t="s">
        <v>2220</v>
      </c>
      <c r="F611" s="156"/>
      <c r="G611" s="115">
        <v>3</v>
      </c>
      <c r="H611" s="115">
        <v>14</v>
      </c>
      <c r="I611" s="115"/>
      <c r="J611" s="115">
        <v>1425</v>
      </c>
      <c r="K611" s="115">
        <v>66.94</v>
      </c>
      <c r="L611" s="115">
        <v>20000</v>
      </c>
      <c r="M611" s="115"/>
      <c r="N611" s="115"/>
      <c r="O611" s="431">
        <v>9310.59</v>
      </c>
      <c r="P611" s="445">
        <v>623251</v>
      </c>
      <c r="Q611" s="464" t="s">
        <v>66</v>
      </c>
      <c r="R611" s="484">
        <v>313251</v>
      </c>
      <c r="S611" s="484"/>
      <c r="T611" s="466">
        <v>310000</v>
      </c>
      <c r="U611" s="466"/>
      <c r="V611" s="405"/>
      <c r="W611" s="466">
        <v>4351</v>
      </c>
      <c r="X611" s="466">
        <v>550</v>
      </c>
      <c r="Y611" s="466"/>
      <c r="Z611" s="83" t="s">
        <v>48</v>
      </c>
      <c r="AA611" s="294"/>
      <c r="AB611" s="83">
        <v>1251</v>
      </c>
      <c r="AC611" s="83"/>
      <c r="AD611" s="83"/>
      <c r="AE611" s="83"/>
      <c r="AF611" s="467"/>
      <c r="AG611" s="294">
        <v>42574</v>
      </c>
      <c r="AH611" s="407">
        <f>R611+W611+X611</f>
        <v>318152</v>
      </c>
      <c r="AI611" s="132">
        <f t="shared" ref="AI611:AI618" si="205">R611+V611+W611+X611+AA611+AB611+AC611+AD611</f>
        <v>319403</v>
      </c>
      <c r="AJ611" s="132">
        <f t="shared" ref="AJ611:AJ618" si="206">R611+W611+V611+X611+AA611</f>
        <v>318152</v>
      </c>
      <c r="AK611" s="132">
        <f t="shared" ref="AK611:AK618" si="207">AI611-AJ611</f>
        <v>1251</v>
      </c>
      <c r="AL611" s="471"/>
      <c r="AM611" s="133" t="s">
        <v>900</v>
      </c>
      <c r="AN611" s="246">
        <v>44886</v>
      </c>
      <c r="AO611" s="288"/>
    </row>
    <row r="612" s="422" customFormat="1" customHeight="1" spans="1:41">
      <c r="A612" s="115" t="s">
        <v>2221</v>
      </c>
      <c r="B612" s="107" t="s">
        <v>2222</v>
      </c>
      <c r="C612" s="406" t="s">
        <v>2223</v>
      </c>
      <c r="D612" s="193" t="str">
        <f t="shared" si="192"/>
        <v>王喆412301197509291027</v>
      </c>
      <c r="E612" s="166" t="s">
        <v>2224</v>
      </c>
      <c r="F612" s="156"/>
      <c r="G612" s="115">
        <v>3</v>
      </c>
      <c r="H612" s="115">
        <v>21</v>
      </c>
      <c r="I612" s="115"/>
      <c r="J612" s="115">
        <v>2117</v>
      </c>
      <c r="K612" s="115">
        <v>68.25</v>
      </c>
      <c r="L612" s="115">
        <v>20000</v>
      </c>
      <c r="M612" s="115"/>
      <c r="N612" s="115"/>
      <c r="O612" s="431">
        <v>10000</v>
      </c>
      <c r="P612" s="445">
        <v>682500</v>
      </c>
      <c r="Q612" s="464" t="s">
        <v>56</v>
      </c>
      <c r="R612" s="465">
        <v>682500</v>
      </c>
      <c r="S612" s="465"/>
      <c r="T612" s="466" t="s">
        <v>47</v>
      </c>
      <c r="U612" s="466"/>
      <c r="V612" s="466"/>
      <c r="W612" s="466">
        <v>4436</v>
      </c>
      <c r="X612" s="466">
        <v>550</v>
      </c>
      <c r="Y612" s="466"/>
      <c r="Z612" s="83" t="s">
        <v>48</v>
      </c>
      <c r="AA612" s="294"/>
      <c r="AB612" s="83"/>
      <c r="AC612" s="83"/>
      <c r="AD612" s="83"/>
      <c r="AE612" s="83"/>
      <c r="AF612" s="467"/>
      <c r="AG612" s="294">
        <v>43958</v>
      </c>
      <c r="AH612" s="407"/>
      <c r="AI612" s="132">
        <f t="shared" si="205"/>
        <v>687486</v>
      </c>
      <c r="AJ612" s="132">
        <f t="shared" si="206"/>
        <v>687486</v>
      </c>
      <c r="AK612" s="132">
        <f t="shared" si="207"/>
        <v>0</v>
      </c>
      <c r="AL612" s="471"/>
      <c r="AM612" s="133" t="s">
        <v>900</v>
      </c>
      <c r="AN612" s="246">
        <v>44886</v>
      </c>
      <c r="AO612" s="288"/>
    </row>
    <row r="613" s="422" customFormat="1" customHeight="1" spans="1:41">
      <c r="A613" s="115" t="s">
        <v>2225</v>
      </c>
      <c r="B613" s="107" t="s">
        <v>2226</v>
      </c>
      <c r="C613" s="406" t="s">
        <v>2227</v>
      </c>
      <c r="D613" s="193" t="str">
        <f t="shared" si="192"/>
        <v>耿世杰41010419741106501X</v>
      </c>
      <c r="E613" s="166" t="s">
        <v>2228</v>
      </c>
      <c r="F613" s="156"/>
      <c r="G613" s="115">
        <v>3</v>
      </c>
      <c r="H613" s="115">
        <v>21</v>
      </c>
      <c r="I613" s="115"/>
      <c r="J613" s="115">
        <v>2102</v>
      </c>
      <c r="K613" s="115">
        <v>47.59</v>
      </c>
      <c r="L613" s="115">
        <v>20000</v>
      </c>
      <c r="M613" s="115"/>
      <c r="N613" s="115"/>
      <c r="O613" s="431">
        <v>10000</v>
      </c>
      <c r="P613" s="445">
        <v>475900</v>
      </c>
      <c r="Q613" s="464" t="s">
        <v>56</v>
      </c>
      <c r="R613" s="465">
        <v>475900</v>
      </c>
      <c r="S613" s="465"/>
      <c r="T613" s="466" t="s">
        <v>47</v>
      </c>
      <c r="U613" s="466"/>
      <c r="V613" s="466"/>
      <c r="W613" s="466">
        <v>3093</v>
      </c>
      <c r="X613" s="466">
        <v>550</v>
      </c>
      <c r="Y613" s="466"/>
      <c r="Z613" s="83" t="s">
        <v>48</v>
      </c>
      <c r="AA613" s="294"/>
      <c r="AB613" s="83"/>
      <c r="AC613" s="83"/>
      <c r="AD613" s="83"/>
      <c r="AE613" s="83"/>
      <c r="AF613" s="467"/>
      <c r="AG613" s="294">
        <v>42826</v>
      </c>
      <c r="AH613" s="407"/>
      <c r="AI613" s="132">
        <f t="shared" si="205"/>
        <v>479543</v>
      </c>
      <c r="AJ613" s="132">
        <f t="shared" si="206"/>
        <v>479543</v>
      </c>
      <c r="AK613" s="132">
        <f t="shared" si="207"/>
        <v>0</v>
      </c>
      <c r="AL613" s="471"/>
      <c r="AM613" s="133" t="s">
        <v>900</v>
      </c>
      <c r="AN613" s="246">
        <v>44886</v>
      </c>
      <c r="AO613" s="288"/>
    </row>
    <row r="614" s="422" customFormat="1" customHeight="1" spans="1:41">
      <c r="A614" s="115" t="s">
        <v>2229</v>
      </c>
      <c r="B614" s="107" t="s">
        <v>2230</v>
      </c>
      <c r="C614" s="406" t="s">
        <v>2231</v>
      </c>
      <c r="D614" s="193" t="str">
        <f t="shared" si="192"/>
        <v>王素清410523196605060061</v>
      </c>
      <c r="E614" s="155">
        <v>13783827719</v>
      </c>
      <c r="F614" s="115"/>
      <c r="G614" s="115">
        <v>3</v>
      </c>
      <c r="H614" s="115">
        <v>12</v>
      </c>
      <c r="I614" s="115"/>
      <c r="J614" s="115">
        <v>1207</v>
      </c>
      <c r="K614" s="115">
        <v>61.94</v>
      </c>
      <c r="L614" s="115">
        <v>20000</v>
      </c>
      <c r="M614" s="115"/>
      <c r="N614" s="115"/>
      <c r="O614" s="431">
        <v>9143.33</v>
      </c>
      <c r="P614" s="445">
        <v>566338</v>
      </c>
      <c r="Q614" s="464" t="s">
        <v>56</v>
      </c>
      <c r="R614" s="465">
        <v>566338</v>
      </c>
      <c r="S614" s="465"/>
      <c r="T614" s="466" t="s">
        <v>47</v>
      </c>
      <c r="U614" s="466"/>
      <c r="V614" s="466"/>
      <c r="W614" s="466">
        <v>4026</v>
      </c>
      <c r="X614" s="466">
        <v>550</v>
      </c>
      <c r="Y614" s="466"/>
      <c r="Z614" s="83" t="s">
        <v>48</v>
      </c>
      <c r="AA614" s="294"/>
      <c r="AB614" s="83"/>
      <c r="AC614" s="83"/>
      <c r="AD614" s="83"/>
      <c r="AE614" s="83"/>
      <c r="AF614" s="467"/>
      <c r="AG614" s="294">
        <v>43280</v>
      </c>
      <c r="AH614" s="407">
        <f>286338+W614+X614</f>
        <v>290914</v>
      </c>
      <c r="AI614" s="132">
        <f t="shared" si="205"/>
        <v>570914</v>
      </c>
      <c r="AJ614" s="132">
        <f t="shared" si="206"/>
        <v>570914</v>
      </c>
      <c r="AK614" s="132">
        <f t="shared" si="207"/>
        <v>0</v>
      </c>
      <c r="AL614" s="471"/>
      <c r="AM614" s="133" t="s">
        <v>900</v>
      </c>
      <c r="AN614" s="246">
        <v>44886</v>
      </c>
      <c r="AO614" s="288"/>
    </row>
    <row r="615" s="422" customFormat="1" customHeight="1" spans="1:41">
      <c r="A615" s="115" t="s">
        <v>2232</v>
      </c>
      <c r="B615" s="107" t="s">
        <v>2233</v>
      </c>
      <c r="C615" s="406" t="s">
        <v>2234</v>
      </c>
      <c r="D615" s="193" t="str">
        <f t="shared" si="192"/>
        <v>陈一菲410504199703240028</v>
      </c>
      <c r="E615" s="155">
        <v>13083720803</v>
      </c>
      <c r="F615" s="115"/>
      <c r="G615" s="115">
        <v>3</v>
      </c>
      <c r="H615" s="115">
        <v>13</v>
      </c>
      <c r="I615" s="115"/>
      <c r="J615" s="115">
        <v>1335</v>
      </c>
      <c r="K615" s="115">
        <v>55.18</v>
      </c>
      <c r="L615" s="115">
        <v>30000</v>
      </c>
      <c r="M615" s="115"/>
      <c r="N615" s="115"/>
      <c r="O615" s="431">
        <v>12000</v>
      </c>
      <c r="P615" s="445">
        <v>662160</v>
      </c>
      <c r="Q615" s="464" t="s">
        <v>56</v>
      </c>
      <c r="R615" s="465">
        <v>662160</v>
      </c>
      <c r="S615" s="465"/>
      <c r="T615" s="466" t="s">
        <v>47</v>
      </c>
      <c r="U615" s="466"/>
      <c r="V615" s="466"/>
      <c r="W615" s="466">
        <v>3586</v>
      </c>
      <c r="X615" s="466">
        <v>550</v>
      </c>
      <c r="Y615" s="466"/>
      <c r="Z615" s="83" t="s">
        <v>48</v>
      </c>
      <c r="AA615" s="294"/>
      <c r="AB615" s="83"/>
      <c r="AC615" s="83"/>
      <c r="AD615" s="83"/>
      <c r="AE615" s="83"/>
      <c r="AF615" s="467"/>
      <c r="AG615" s="294">
        <v>43302</v>
      </c>
      <c r="AH615" s="407">
        <f>R615+W615+X615</f>
        <v>666296</v>
      </c>
      <c r="AI615" s="132">
        <f t="shared" si="205"/>
        <v>666296</v>
      </c>
      <c r="AJ615" s="132">
        <f t="shared" si="206"/>
        <v>666296</v>
      </c>
      <c r="AK615" s="132">
        <f t="shared" si="207"/>
        <v>0</v>
      </c>
      <c r="AL615" s="471"/>
      <c r="AM615" s="133" t="s">
        <v>900</v>
      </c>
      <c r="AN615" s="246">
        <v>44886</v>
      </c>
      <c r="AO615" s="288"/>
    </row>
    <row r="616" s="422" customFormat="1" customHeight="1" spans="1:41">
      <c r="A616" s="115" t="s">
        <v>2235</v>
      </c>
      <c r="B616" s="155" t="s">
        <v>2236</v>
      </c>
      <c r="C616" s="406" t="s">
        <v>2237</v>
      </c>
      <c r="D616" s="193" t="str">
        <f t="shared" si="192"/>
        <v>孟庆蕾410523197607200042</v>
      </c>
      <c r="E616" s="155" t="s">
        <v>2238</v>
      </c>
      <c r="F616" s="115" t="s">
        <v>2239</v>
      </c>
      <c r="G616" s="239">
        <v>6</v>
      </c>
      <c r="H616" s="115">
        <v>1</v>
      </c>
      <c r="I616" s="115">
        <v>14</v>
      </c>
      <c r="J616" s="115">
        <v>1407</v>
      </c>
      <c r="K616" s="115">
        <v>86.33</v>
      </c>
      <c r="L616" s="115">
        <v>19480</v>
      </c>
      <c r="M616" s="115"/>
      <c r="N616" s="115"/>
      <c r="O616" s="431">
        <v>16000</v>
      </c>
      <c r="P616" s="445">
        <v>1381280</v>
      </c>
      <c r="Q616" s="464" t="s">
        <v>66</v>
      </c>
      <c r="R616" s="83">
        <v>721280</v>
      </c>
      <c r="S616" s="83"/>
      <c r="T616" s="464">
        <v>660000</v>
      </c>
      <c r="U616" s="83"/>
      <c r="V616" s="83"/>
      <c r="W616" s="83">
        <v>5611</v>
      </c>
      <c r="X616" s="83">
        <v>80</v>
      </c>
      <c r="Y616" s="83"/>
      <c r="Z616" s="83" t="s">
        <v>48</v>
      </c>
      <c r="AA616" s="294"/>
      <c r="AB616" s="83">
        <f>1366-80</f>
        <v>1286</v>
      </c>
      <c r="AC616" s="83"/>
      <c r="AD616" s="83"/>
      <c r="AE616" s="83"/>
      <c r="AF616" s="467"/>
      <c r="AG616" s="294">
        <v>42931</v>
      </c>
      <c r="AH616" s="407"/>
      <c r="AI616" s="132">
        <f t="shared" si="205"/>
        <v>728257</v>
      </c>
      <c r="AJ616" s="132">
        <f t="shared" si="206"/>
        <v>726971</v>
      </c>
      <c r="AK616" s="132">
        <f t="shared" si="207"/>
        <v>1286</v>
      </c>
      <c r="AL616" s="471"/>
      <c r="AM616" s="133" t="s">
        <v>900</v>
      </c>
      <c r="AN616" s="246">
        <v>44886</v>
      </c>
      <c r="AO616" s="288"/>
    </row>
    <row r="617" s="422" customFormat="1" customHeight="1" spans="1:41">
      <c r="A617" s="115" t="s">
        <v>2240</v>
      </c>
      <c r="B617" s="107" t="s">
        <v>2241</v>
      </c>
      <c r="C617" s="406" t="s">
        <v>2242</v>
      </c>
      <c r="D617" s="193" t="str">
        <f t="shared" si="192"/>
        <v>房俊琦412701197911144043</v>
      </c>
      <c r="E617" s="155">
        <v>13849421746</v>
      </c>
      <c r="F617" s="115"/>
      <c r="G617" s="115">
        <v>3</v>
      </c>
      <c r="H617" s="115">
        <v>11</v>
      </c>
      <c r="I617" s="115"/>
      <c r="J617" s="115">
        <v>1135</v>
      </c>
      <c r="K617" s="115">
        <v>55.18</v>
      </c>
      <c r="L617" s="115">
        <v>20000</v>
      </c>
      <c r="M617" s="115"/>
      <c r="N617" s="115"/>
      <c r="O617" s="431">
        <v>9863.34</v>
      </c>
      <c r="P617" s="445">
        <v>544259</v>
      </c>
      <c r="Q617" s="464" t="s">
        <v>66</v>
      </c>
      <c r="R617" s="484">
        <v>304259</v>
      </c>
      <c r="S617" s="484"/>
      <c r="T617" s="466" t="s">
        <v>47</v>
      </c>
      <c r="U617" s="485"/>
      <c r="V617" s="405">
        <v>240000</v>
      </c>
      <c r="W617" s="466">
        <v>3586</v>
      </c>
      <c r="X617" s="466">
        <v>550</v>
      </c>
      <c r="Y617" s="466"/>
      <c r="Z617" s="83" t="s">
        <v>48</v>
      </c>
      <c r="AA617" s="294"/>
      <c r="AB617" s="83"/>
      <c r="AC617" s="83"/>
      <c r="AD617" s="83"/>
      <c r="AE617" s="83"/>
      <c r="AF617" s="467"/>
      <c r="AG617" s="294">
        <v>43070</v>
      </c>
      <c r="AH617" s="407">
        <f>R617+W617+X617</f>
        <v>308395</v>
      </c>
      <c r="AI617" s="132">
        <f t="shared" si="205"/>
        <v>548395</v>
      </c>
      <c r="AJ617" s="132">
        <f t="shared" si="206"/>
        <v>548395</v>
      </c>
      <c r="AK617" s="132">
        <f t="shared" si="207"/>
        <v>0</v>
      </c>
      <c r="AL617" s="471"/>
      <c r="AM617" s="133" t="s">
        <v>900</v>
      </c>
      <c r="AN617" s="246">
        <v>44886</v>
      </c>
      <c r="AO617" s="288"/>
    </row>
    <row r="618" s="422" customFormat="1" customHeight="1" spans="1:41">
      <c r="A618" s="115" t="s">
        <v>2243</v>
      </c>
      <c r="B618" s="404" t="s">
        <v>2244</v>
      </c>
      <c r="C618" s="511" t="s">
        <v>2245</v>
      </c>
      <c r="D618" s="193" t="str">
        <f t="shared" si="192"/>
        <v>侯旭辉410105197605202728</v>
      </c>
      <c r="E618" s="155">
        <v>13838525352</v>
      </c>
      <c r="F618" s="115"/>
      <c r="G618" s="115">
        <v>2</v>
      </c>
      <c r="H618" s="115">
        <v>10</v>
      </c>
      <c r="I618" s="115"/>
      <c r="J618" s="115">
        <v>1027</v>
      </c>
      <c r="K618" s="115">
        <v>57.69</v>
      </c>
      <c r="L618" s="239">
        <v>20000</v>
      </c>
      <c r="M618" s="239"/>
      <c r="N618" s="239"/>
      <c r="O618" s="431">
        <v>9475</v>
      </c>
      <c r="P618" s="239">
        <v>546613</v>
      </c>
      <c r="Q618" s="464" t="s">
        <v>56</v>
      </c>
      <c r="R618" s="83">
        <v>546613</v>
      </c>
      <c r="S618" s="83"/>
      <c r="T618" s="464">
        <v>0</v>
      </c>
      <c r="U618" s="83"/>
      <c r="V618" s="83"/>
      <c r="W618" s="401">
        <v>3749</v>
      </c>
      <c r="X618" s="83">
        <v>550</v>
      </c>
      <c r="Y618" s="83"/>
      <c r="Z618" s="115" t="s">
        <v>48</v>
      </c>
      <c r="AA618" s="246"/>
      <c r="AB618" s="115"/>
      <c r="AC618" s="115"/>
      <c r="AD618" s="115"/>
      <c r="AE618" s="83"/>
      <c r="AF618" s="467"/>
      <c r="AG618" s="294">
        <v>42386</v>
      </c>
      <c r="AH618" s="407">
        <f>R618+W618+X618</f>
        <v>550912</v>
      </c>
      <c r="AI618" s="132">
        <f t="shared" si="205"/>
        <v>550912</v>
      </c>
      <c r="AJ618" s="132">
        <f t="shared" si="206"/>
        <v>550912</v>
      </c>
      <c r="AK618" s="132">
        <f t="shared" si="207"/>
        <v>0</v>
      </c>
      <c r="AL618" s="471"/>
      <c r="AM618" s="133" t="s">
        <v>900</v>
      </c>
      <c r="AN618" s="246">
        <v>44886</v>
      </c>
      <c r="AO618" s="288"/>
    </row>
    <row r="619" s="422" customFormat="1" customHeight="1" spans="1:41">
      <c r="A619" s="115" t="s">
        <v>2246</v>
      </c>
      <c r="B619" s="115" t="s">
        <v>2244</v>
      </c>
      <c r="C619" s="83" t="s">
        <v>2245</v>
      </c>
      <c r="D619" s="193" t="str">
        <f t="shared" si="192"/>
        <v>侯旭辉410105197605202728</v>
      </c>
      <c r="E619" s="155">
        <v>13838525352</v>
      </c>
      <c r="F619" s="115"/>
      <c r="G619" s="115">
        <v>10</v>
      </c>
      <c r="H619" s="115">
        <v>2</v>
      </c>
      <c r="I619" s="115">
        <v>32</v>
      </c>
      <c r="J619" s="115">
        <v>3206</v>
      </c>
      <c r="K619" s="115">
        <v>99.52</v>
      </c>
      <c r="L619" s="115">
        <v>8660</v>
      </c>
      <c r="M619" s="115"/>
      <c r="N619" s="115"/>
      <c r="O619" s="431">
        <v>8560</v>
      </c>
      <c r="P619" s="239">
        <v>851891</v>
      </c>
      <c r="Q619" s="464" t="s">
        <v>66</v>
      </c>
      <c r="R619" s="83">
        <v>511891</v>
      </c>
      <c r="S619" s="83"/>
      <c r="T619" s="464" t="s">
        <v>47</v>
      </c>
      <c r="V619" s="464">
        <v>340000</v>
      </c>
      <c r="W619" s="83">
        <v>6468</v>
      </c>
      <c r="X619" s="83">
        <v>80</v>
      </c>
      <c r="Y619" s="83"/>
      <c r="Z619" s="83" t="s">
        <v>48</v>
      </c>
      <c r="AA619" s="294"/>
      <c r="AB619" s="83">
        <v>1314</v>
      </c>
      <c r="AC619" s="83"/>
      <c r="AD619" s="83"/>
      <c r="AE619" s="83"/>
      <c r="AF619" s="467"/>
      <c r="AG619" s="294">
        <v>42488</v>
      </c>
      <c r="AH619" s="407">
        <f>R619+W619+X619</f>
        <v>518439</v>
      </c>
      <c r="AI619" s="132">
        <f t="shared" ref="AI619:AI626" si="208">R619+V619+W619+X619+AA619+AB619+AC619+AD619</f>
        <v>859753</v>
      </c>
      <c r="AJ619" s="132">
        <f t="shared" ref="AJ619:AJ626" si="209">R619+W619+V619+X619+AA619</f>
        <v>858439</v>
      </c>
      <c r="AK619" s="132">
        <f t="shared" ref="AK619:AK626" si="210">AI619-AJ619</f>
        <v>1314</v>
      </c>
      <c r="AL619" s="471"/>
      <c r="AM619" s="133" t="s">
        <v>900</v>
      </c>
      <c r="AN619" s="246">
        <v>44886</v>
      </c>
      <c r="AO619" s="288"/>
    </row>
    <row r="620" s="422" customFormat="1" customHeight="1" spans="1:44">
      <c r="A620" s="115" t="s">
        <v>2247</v>
      </c>
      <c r="B620" s="107" t="s">
        <v>2248</v>
      </c>
      <c r="C620" s="444" t="s">
        <v>2249</v>
      </c>
      <c r="D620" s="193" t="str">
        <f t="shared" si="192"/>
        <v>刘思竹413026199411143369</v>
      </c>
      <c r="E620" s="444" t="s">
        <v>2250</v>
      </c>
      <c r="F620" s="167"/>
      <c r="G620" s="106">
        <v>3</v>
      </c>
      <c r="H620" s="106">
        <v>15</v>
      </c>
      <c r="I620" s="106"/>
      <c r="J620" s="106">
        <v>1528</v>
      </c>
      <c r="K620" s="106">
        <v>64.13</v>
      </c>
      <c r="L620" s="106">
        <v>20000</v>
      </c>
      <c r="M620" s="106"/>
      <c r="N620" s="106"/>
      <c r="O620" s="455">
        <v>15443.24</v>
      </c>
      <c r="P620" s="445">
        <v>990375</v>
      </c>
      <c r="Q620" s="110" t="s">
        <v>66</v>
      </c>
      <c r="R620" s="514">
        <v>500375</v>
      </c>
      <c r="S620" s="514"/>
      <c r="T620" s="457">
        <v>490000</v>
      </c>
      <c r="U620" s="515"/>
      <c r="V620" s="109"/>
      <c r="W620" s="457">
        <v>4168</v>
      </c>
      <c r="X620" s="457">
        <v>550</v>
      </c>
      <c r="Y620" s="457"/>
      <c r="Z620" s="83" t="s">
        <v>48</v>
      </c>
      <c r="AA620" s="294"/>
      <c r="AB620" s="83">
        <v>1269</v>
      </c>
      <c r="AC620" s="83"/>
      <c r="AD620" s="83"/>
      <c r="AE620" s="83"/>
      <c r="AF620" s="467"/>
      <c r="AG620" s="294">
        <v>43682</v>
      </c>
      <c r="AH620" s="407"/>
      <c r="AI620" s="132">
        <f t="shared" si="208"/>
        <v>506362</v>
      </c>
      <c r="AJ620" s="132">
        <f t="shared" si="209"/>
        <v>505093</v>
      </c>
      <c r="AK620" s="132">
        <f t="shared" si="210"/>
        <v>1269</v>
      </c>
      <c r="AL620" s="471"/>
      <c r="AM620" s="133" t="s">
        <v>900</v>
      </c>
      <c r="AN620" s="246">
        <v>44886</v>
      </c>
      <c r="AO620" s="259"/>
      <c r="AP620" s="202"/>
      <c r="AQ620" s="202"/>
      <c r="AR620" s="202"/>
    </row>
    <row r="621" s="422" customFormat="1" customHeight="1" spans="1:44">
      <c r="A621" s="106" t="s">
        <v>2251</v>
      </c>
      <c r="B621" s="107" t="s">
        <v>2252</v>
      </c>
      <c r="C621" s="406" t="s">
        <v>2253</v>
      </c>
      <c r="D621" s="193" t="str">
        <f t="shared" si="192"/>
        <v>韩畅410105199009300021</v>
      </c>
      <c r="E621" s="155">
        <v>13903736816</v>
      </c>
      <c r="F621" s="115"/>
      <c r="G621" s="115">
        <v>3</v>
      </c>
      <c r="H621" s="115">
        <v>28</v>
      </c>
      <c r="I621" s="115"/>
      <c r="J621" s="115">
        <v>2824</v>
      </c>
      <c r="K621" s="115">
        <v>58.01</v>
      </c>
      <c r="L621" s="239">
        <v>20000</v>
      </c>
      <c r="M621" s="239"/>
      <c r="N621" s="239"/>
      <c r="O621" s="431">
        <v>12500</v>
      </c>
      <c r="P621" s="445">
        <v>725125</v>
      </c>
      <c r="Q621" s="464" t="s">
        <v>56</v>
      </c>
      <c r="R621" s="465">
        <v>725125</v>
      </c>
      <c r="S621" s="465"/>
      <c r="T621" s="466" t="s">
        <v>47</v>
      </c>
      <c r="U621" s="466"/>
      <c r="V621" s="466"/>
      <c r="W621" s="466">
        <v>3770</v>
      </c>
      <c r="X621" s="466">
        <v>550</v>
      </c>
      <c r="Y621" s="466"/>
      <c r="Z621" s="83" t="s">
        <v>48</v>
      </c>
      <c r="AA621" s="294"/>
      <c r="AB621" s="83"/>
      <c r="AC621" s="83"/>
      <c r="AD621" s="83"/>
      <c r="AE621" s="83"/>
      <c r="AF621" s="467"/>
      <c r="AG621" s="247">
        <v>42938</v>
      </c>
      <c r="AH621" s="407"/>
      <c r="AI621" s="132">
        <f t="shared" si="208"/>
        <v>729445</v>
      </c>
      <c r="AJ621" s="132">
        <f t="shared" si="209"/>
        <v>729445</v>
      </c>
      <c r="AK621" s="132">
        <f t="shared" si="210"/>
        <v>0</v>
      </c>
      <c r="AL621" s="176"/>
      <c r="AM621" s="115" t="s">
        <v>974</v>
      </c>
      <c r="AN621" s="246">
        <v>44886</v>
      </c>
      <c r="AO621" s="259"/>
      <c r="AP621" s="202"/>
      <c r="AQ621" s="202"/>
      <c r="AR621" s="202"/>
    </row>
    <row r="622" s="422" customFormat="1" customHeight="1" spans="1:44">
      <c r="A622" s="106" t="s">
        <v>2254</v>
      </c>
      <c r="B622" s="107" t="s">
        <v>2255</v>
      </c>
      <c r="C622" s="406" t="s">
        <v>2256</v>
      </c>
      <c r="D622" s="193" t="str">
        <f t="shared" si="192"/>
        <v>李勇燕412722195108284525</v>
      </c>
      <c r="E622" s="166" t="s">
        <v>2257</v>
      </c>
      <c r="F622" s="156"/>
      <c r="G622" s="115">
        <v>3</v>
      </c>
      <c r="H622" s="115">
        <v>17</v>
      </c>
      <c r="I622" s="115"/>
      <c r="J622" s="115">
        <v>1734</v>
      </c>
      <c r="K622" s="115">
        <v>55.51</v>
      </c>
      <c r="L622" s="115">
        <v>20000</v>
      </c>
      <c r="M622" s="115"/>
      <c r="N622" s="115"/>
      <c r="O622" s="431">
        <v>14086.0536260572</v>
      </c>
      <c r="P622" s="445">
        <v>781917</v>
      </c>
      <c r="Q622" s="464" t="s">
        <v>56</v>
      </c>
      <c r="R622" s="465">
        <v>781917</v>
      </c>
      <c r="S622" s="465"/>
      <c r="T622" s="466" t="s">
        <v>47</v>
      </c>
      <c r="U622" s="485"/>
      <c r="V622" s="485"/>
      <c r="W622" s="466">
        <v>3608</v>
      </c>
      <c r="X622" s="466">
        <v>550</v>
      </c>
      <c r="Y622" s="466"/>
      <c r="Z622" s="83" t="s">
        <v>48</v>
      </c>
      <c r="AA622" s="294"/>
      <c r="AB622" s="83"/>
      <c r="AC622" s="83"/>
      <c r="AD622" s="83"/>
      <c r="AE622" s="83"/>
      <c r="AF622" s="467"/>
      <c r="AG622" s="247">
        <v>43839</v>
      </c>
      <c r="AH622" s="407"/>
      <c r="AI622" s="132">
        <f t="shared" si="208"/>
        <v>786075</v>
      </c>
      <c r="AJ622" s="132">
        <f t="shared" si="209"/>
        <v>786075</v>
      </c>
      <c r="AK622" s="132">
        <f t="shared" si="210"/>
        <v>0</v>
      </c>
      <c r="AL622" s="176"/>
      <c r="AM622" s="115" t="s">
        <v>974</v>
      </c>
      <c r="AN622" s="246">
        <v>44886</v>
      </c>
      <c r="AO622" s="259"/>
      <c r="AP622" s="202"/>
      <c r="AQ622" s="202"/>
      <c r="AR622" s="202"/>
    </row>
    <row r="623" s="422" customFormat="1" customHeight="1" spans="1:44">
      <c r="A623" s="106" t="s">
        <v>2258</v>
      </c>
      <c r="B623" s="404" t="s">
        <v>2259</v>
      </c>
      <c r="C623" s="406" t="s">
        <v>2260</v>
      </c>
      <c r="D623" s="193" t="str">
        <f t="shared" si="192"/>
        <v>夏爽412928197605234420</v>
      </c>
      <c r="E623" s="166" t="s">
        <v>2261</v>
      </c>
      <c r="F623" s="156"/>
      <c r="G623" s="115">
        <v>2</v>
      </c>
      <c r="H623" s="115">
        <v>20</v>
      </c>
      <c r="I623" s="115"/>
      <c r="J623" s="115">
        <v>2007</v>
      </c>
      <c r="K623" s="115">
        <v>47.97</v>
      </c>
      <c r="L623" s="239">
        <v>30000</v>
      </c>
      <c r="M623" s="239"/>
      <c r="N623" s="239"/>
      <c r="O623" s="431">
        <v>14684.24</v>
      </c>
      <c r="P623" s="239">
        <v>704403</v>
      </c>
      <c r="Q623" s="464" t="s">
        <v>66</v>
      </c>
      <c r="R623" s="83">
        <v>354403</v>
      </c>
      <c r="S623" s="83"/>
      <c r="T623" s="464">
        <v>350000</v>
      </c>
      <c r="U623" s="83"/>
      <c r="V623" s="445"/>
      <c r="W623" s="83">
        <v>3118</v>
      </c>
      <c r="X623" s="445">
        <v>550</v>
      </c>
      <c r="Y623" s="445"/>
      <c r="Z623" s="83"/>
      <c r="AA623" s="294"/>
      <c r="AB623" s="83">
        <f>1256+5000</f>
        <v>6256</v>
      </c>
      <c r="AC623" s="83"/>
      <c r="AD623" s="83"/>
      <c r="AE623" s="83"/>
      <c r="AF623" s="467"/>
      <c r="AG623" s="247">
        <v>43282</v>
      </c>
      <c r="AH623" s="407"/>
      <c r="AI623" s="132">
        <f t="shared" si="208"/>
        <v>364327</v>
      </c>
      <c r="AJ623" s="132">
        <f t="shared" si="209"/>
        <v>358071</v>
      </c>
      <c r="AK623" s="132">
        <f t="shared" si="210"/>
        <v>6256</v>
      </c>
      <c r="AL623" s="176"/>
      <c r="AM623" s="115" t="s">
        <v>974</v>
      </c>
      <c r="AN623" s="246">
        <v>44886</v>
      </c>
      <c r="AO623" s="259"/>
      <c r="AP623" s="202"/>
      <c r="AQ623" s="202"/>
      <c r="AR623" s="202"/>
    </row>
    <row r="624" s="422" customFormat="1" customHeight="1" spans="1:44">
      <c r="A624" s="106" t="s">
        <v>2262</v>
      </c>
      <c r="B624" s="107" t="s">
        <v>2263</v>
      </c>
      <c r="C624" s="478" t="s">
        <v>2264</v>
      </c>
      <c r="D624" s="193" t="str">
        <f t="shared" si="192"/>
        <v>王鹏飞410426199305248012</v>
      </c>
      <c r="E624" s="444" t="s">
        <v>2265</v>
      </c>
      <c r="F624" s="167"/>
      <c r="G624" s="106">
        <v>3</v>
      </c>
      <c r="H624" s="106">
        <v>5</v>
      </c>
      <c r="I624" s="106"/>
      <c r="J624" s="106">
        <v>521</v>
      </c>
      <c r="K624" s="106">
        <v>71.25</v>
      </c>
      <c r="L624" s="106">
        <v>20000</v>
      </c>
      <c r="M624" s="106"/>
      <c r="N624" s="106"/>
      <c r="O624" s="455">
        <v>12250</v>
      </c>
      <c r="P624" s="445">
        <v>872813</v>
      </c>
      <c r="Q624" s="486" t="s">
        <v>56</v>
      </c>
      <c r="R624" s="516">
        <v>876084</v>
      </c>
      <c r="S624" s="516">
        <v>-3271</v>
      </c>
      <c r="T624" s="466" t="s">
        <v>47</v>
      </c>
      <c r="U624" s="517"/>
      <c r="V624" s="517"/>
      <c r="W624" s="517">
        <v>4631</v>
      </c>
      <c r="X624" s="517">
        <v>550</v>
      </c>
      <c r="Y624" s="517"/>
      <c r="Z624" s="468" t="s">
        <v>48</v>
      </c>
      <c r="AA624" s="474"/>
      <c r="AB624" s="468"/>
      <c r="AC624" s="468"/>
      <c r="AD624" s="468"/>
      <c r="AE624" s="83"/>
      <c r="AF624" s="467"/>
      <c r="AG624" s="247">
        <v>42898</v>
      </c>
      <c r="AH624" s="407"/>
      <c r="AI624" s="132">
        <f t="shared" si="208"/>
        <v>881265</v>
      </c>
      <c r="AJ624" s="132">
        <f t="shared" si="209"/>
        <v>881265</v>
      </c>
      <c r="AK624" s="132">
        <f t="shared" si="210"/>
        <v>0</v>
      </c>
      <c r="AL624" s="176"/>
      <c r="AM624" s="115" t="s">
        <v>974</v>
      </c>
      <c r="AN624" s="246">
        <v>44886</v>
      </c>
      <c r="AO624" s="259"/>
      <c r="AP624" s="202"/>
      <c r="AQ624" s="202"/>
      <c r="AR624" s="202"/>
    </row>
    <row r="625" s="422" customFormat="1" customHeight="1" spans="1:44">
      <c r="A625" s="106" t="s">
        <v>2266</v>
      </c>
      <c r="B625" s="107" t="s">
        <v>2267</v>
      </c>
      <c r="C625" s="406" t="s">
        <v>2268</v>
      </c>
      <c r="D625" s="193" t="str">
        <f t="shared" si="192"/>
        <v>李龙宝/李丹丹410928198704036617/410526199306183822</v>
      </c>
      <c r="E625" s="155">
        <v>15038300013</v>
      </c>
      <c r="F625" s="115"/>
      <c r="G625" s="115">
        <v>3</v>
      </c>
      <c r="H625" s="115">
        <v>13</v>
      </c>
      <c r="I625" s="115"/>
      <c r="J625" s="115">
        <v>1323</v>
      </c>
      <c r="K625" s="115">
        <v>59.07</v>
      </c>
      <c r="L625" s="115">
        <v>20000</v>
      </c>
      <c r="M625" s="115"/>
      <c r="N625" s="115"/>
      <c r="O625" s="431">
        <v>9258.88</v>
      </c>
      <c r="P625" s="445">
        <v>546922</v>
      </c>
      <c r="Q625" s="464" t="s">
        <v>66</v>
      </c>
      <c r="R625" s="484">
        <v>276922</v>
      </c>
      <c r="S625" s="484"/>
      <c r="T625" s="466" t="s">
        <v>47</v>
      </c>
      <c r="U625" s="466"/>
      <c r="V625" s="405">
        <v>270000</v>
      </c>
      <c r="W625" s="466">
        <v>3639</v>
      </c>
      <c r="X625" s="466">
        <v>560</v>
      </c>
      <c r="Y625" s="466"/>
      <c r="Z625" s="83" t="s">
        <v>48</v>
      </c>
      <c r="AA625" s="294"/>
      <c r="AB625" s="83">
        <f>1577+3000</f>
        <v>4577</v>
      </c>
      <c r="AC625" s="83"/>
      <c r="AD625" s="83"/>
      <c r="AE625" s="83"/>
      <c r="AF625" s="467"/>
      <c r="AG625" s="247">
        <v>42581</v>
      </c>
      <c r="AH625" s="407">
        <f>R625+W625+X625</f>
        <v>281121</v>
      </c>
      <c r="AI625" s="132">
        <f t="shared" si="208"/>
        <v>555698</v>
      </c>
      <c r="AJ625" s="132">
        <f t="shared" si="209"/>
        <v>551121</v>
      </c>
      <c r="AK625" s="132">
        <f t="shared" si="210"/>
        <v>4577</v>
      </c>
      <c r="AL625" s="176"/>
      <c r="AM625" s="115" t="s">
        <v>974</v>
      </c>
      <c r="AN625" s="246">
        <v>44886</v>
      </c>
      <c r="AO625" s="259"/>
      <c r="AP625" s="202"/>
      <c r="AQ625" s="202"/>
      <c r="AR625" s="202"/>
    </row>
    <row r="626" s="422" customFormat="1" customHeight="1" spans="1:44">
      <c r="A626" s="106" t="s">
        <v>2269</v>
      </c>
      <c r="B626" s="155" t="s">
        <v>2270</v>
      </c>
      <c r="C626" s="406" t="s">
        <v>2271</v>
      </c>
      <c r="D626" s="193" t="str">
        <f t="shared" si="192"/>
        <v>连合明410108198005130015</v>
      </c>
      <c r="E626" s="166" t="s">
        <v>2272</v>
      </c>
      <c r="F626" s="156"/>
      <c r="G626" s="239">
        <v>6</v>
      </c>
      <c r="H626" s="115">
        <v>1</v>
      </c>
      <c r="I626" s="115">
        <v>22</v>
      </c>
      <c r="J626" s="115">
        <v>2205</v>
      </c>
      <c r="K626" s="115">
        <v>93.07</v>
      </c>
      <c r="L626" s="115">
        <v>19680</v>
      </c>
      <c r="M626" s="115"/>
      <c r="N626" s="115"/>
      <c r="O626" s="431">
        <v>11000</v>
      </c>
      <c r="P626" s="445">
        <v>1023770</v>
      </c>
      <c r="Q626" s="464" t="s">
        <v>56</v>
      </c>
      <c r="R626" s="83">
        <v>1042171</v>
      </c>
      <c r="S626" s="83"/>
      <c r="T626" s="464" t="s">
        <v>47</v>
      </c>
      <c r="U626" s="254"/>
      <c r="V626" s="83"/>
      <c r="W626" s="83">
        <v>6049</v>
      </c>
      <c r="X626" s="83">
        <v>80</v>
      </c>
      <c r="Y626" s="83"/>
      <c r="Z626" s="83" t="s">
        <v>48</v>
      </c>
      <c r="AA626" s="294"/>
      <c r="AB626" s="83"/>
      <c r="AC626" s="83"/>
      <c r="AD626" s="83"/>
      <c r="AE626" s="83"/>
      <c r="AF626" s="467"/>
      <c r="AG626" s="247">
        <v>42942</v>
      </c>
      <c r="AH626" s="407"/>
      <c r="AI626" s="132">
        <f t="shared" si="208"/>
        <v>1048300</v>
      </c>
      <c r="AJ626" s="132">
        <f t="shared" si="209"/>
        <v>1048300</v>
      </c>
      <c r="AK626" s="132">
        <f t="shared" si="210"/>
        <v>0</v>
      </c>
      <c r="AL626" s="176"/>
      <c r="AM626" s="115" t="s">
        <v>974</v>
      </c>
      <c r="AN626" s="246">
        <v>44886</v>
      </c>
      <c r="AO626" s="259"/>
      <c r="AP626" s="202"/>
      <c r="AQ626" s="202"/>
      <c r="AR626" s="202"/>
    </row>
    <row r="627" s="422" customFormat="1" customHeight="1" spans="1:44">
      <c r="A627" s="106" t="s">
        <v>2273</v>
      </c>
      <c r="B627" s="155" t="s">
        <v>2274</v>
      </c>
      <c r="C627" s="406" t="s">
        <v>2275</v>
      </c>
      <c r="D627" s="193" t="str">
        <f t="shared" si="192"/>
        <v>连艳丽410108197503222524</v>
      </c>
      <c r="E627" s="166" t="s">
        <v>2272</v>
      </c>
      <c r="F627" s="156"/>
      <c r="G627" s="239">
        <v>6</v>
      </c>
      <c r="H627" s="115">
        <v>1</v>
      </c>
      <c r="I627" s="115">
        <v>23</v>
      </c>
      <c r="J627" s="115">
        <v>2305</v>
      </c>
      <c r="K627" s="115">
        <v>93.07</v>
      </c>
      <c r="L627" s="115">
        <v>19660</v>
      </c>
      <c r="M627" s="115"/>
      <c r="N627" s="115"/>
      <c r="O627" s="431">
        <v>11000</v>
      </c>
      <c r="P627" s="445">
        <v>1023770</v>
      </c>
      <c r="Q627" s="464" t="s">
        <v>56</v>
      </c>
      <c r="R627" s="83">
        <v>1048300</v>
      </c>
      <c r="S627" s="464">
        <v>-24530.0000000001</v>
      </c>
      <c r="T627" s="464" t="s">
        <v>47</v>
      </c>
      <c r="U627" s="83"/>
      <c r="V627" s="83"/>
      <c r="W627" s="83"/>
      <c r="X627" s="83"/>
      <c r="Y627" s="83"/>
      <c r="Z627" s="83"/>
      <c r="AA627" s="294"/>
      <c r="AB627" s="83"/>
      <c r="AC627" s="83"/>
      <c r="AD627" s="83"/>
      <c r="AE627" s="83"/>
      <c r="AF627" s="467"/>
      <c r="AG627" s="247">
        <v>42942</v>
      </c>
      <c r="AH627" s="407">
        <f>R627</f>
        <v>1048300</v>
      </c>
      <c r="AI627" s="132">
        <f t="shared" ref="AI627:AI638" si="211">R627+V627+W627+X627+AA627+AB627+AC627+AD627</f>
        <v>1048300</v>
      </c>
      <c r="AJ627" s="132">
        <f t="shared" ref="AJ627:AJ638" si="212">R627+W627+V627+X627+AA627</f>
        <v>1048300</v>
      </c>
      <c r="AK627" s="132">
        <f t="shared" ref="AK627:AK638" si="213">AI627-AJ627</f>
        <v>0</v>
      </c>
      <c r="AL627" s="176"/>
      <c r="AM627" s="115" t="s">
        <v>974</v>
      </c>
      <c r="AN627" s="246">
        <v>44886</v>
      </c>
      <c r="AO627" s="259"/>
      <c r="AP627" s="202"/>
      <c r="AQ627" s="202"/>
      <c r="AR627" s="202"/>
    </row>
    <row r="628" s="422" customFormat="1" customHeight="1" spans="1:44">
      <c r="A628" s="106" t="s">
        <v>2276</v>
      </c>
      <c r="B628" s="155" t="s">
        <v>2277</v>
      </c>
      <c r="C628" s="406" t="s">
        <v>2278</v>
      </c>
      <c r="D628" s="193" t="str">
        <f t="shared" si="192"/>
        <v>连艳萍410183197802071527</v>
      </c>
      <c r="E628" s="166" t="s">
        <v>2279</v>
      </c>
      <c r="F628" s="156"/>
      <c r="G628" s="239">
        <v>6</v>
      </c>
      <c r="H628" s="115">
        <v>1</v>
      </c>
      <c r="I628" s="115">
        <v>17</v>
      </c>
      <c r="J628" s="115">
        <v>1705</v>
      </c>
      <c r="K628" s="115">
        <v>93.07</v>
      </c>
      <c r="L628" s="115">
        <v>19680</v>
      </c>
      <c r="M628" s="115"/>
      <c r="N628" s="115"/>
      <c r="O628" s="431">
        <v>11000</v>
      </c>
      <c r="P628" s="445">
        <v>1023770</v>
      </c>
      <c r="Q628" s="464" t="s">
        <v>56</v>
      </c>
      <c r="R628" s="83">
        <v>1042171</v>
      </c>
      <c r="S628" s="83"/>
      <c r="T628" s="464" t="s">
        <v>47</v>
      </c>
      <c r="U628" s="83"/>
      <c r="V628" s="83"/>
      <c r="W628" s="83">
        <v>6049</v>
      </c>
      <c r="X628" s="83">
        <v>80</v>
      </c>
      <c r="Y628" s="83"/>
      <c r="Z628" s="83" t="s">
        <v>48</v>
      </c>
      <c r="AA628" s="294"/>
      <c r="AB628" s="83"/>
      <c r="AC628" s="83"/>
      <c r="AD628" s="83"/>
      <c r="AE628" s="83"/>
      <c r="AF628" s="467"/>
      <c r="AG628" s="247">
        <v>42942</v>
      </c>
      <c r="AH628" s="407"/>
      <c r="AI628" s="132">
        <f t="shared" si="211"/>
        <v>1048300</v>
      </c>
      <c r="AJ628" s="132">
        <f t="shared" si="212"/>
        <v>1048300</v>
      </c>
      <c r="AK628" s="132">
        <f t="shared" si="213"/>
        <v>0</v>
      </c>
      <c r="AL628" s="176"/>
      <c r="AM628" s="115" t="s">
        <v>974</v>
      </c>
      <c r="AN628" s="246">
        <v>44886</v>
      </c>
      <c r="AO628" s="259"/>
      <c r="AP628" s="202"/>
      <c r="AQ628" s="202"/>
      <c r="AR628" s="202"/>
    </row>
    <row r="629" s="422" customFormat="1" customHeight="1" spans="1:44">
      <c r="A629" s="106" t="s">
        <v>2280</v>
      </c>
      <c r="B629" s="107" t="s">
        <v>2281</v>
      </c>
      <c r="C629" s="406" t="s">
        <v>2282</v>
      </c>
      <c r="D629" s="193" t="str">
        <f t="shared" si="192"/>
        <v>王静娜410526198811148222</v>
      </c>
      <c r="E629" s="448" t="s">
        <v>2283</v>
      </c>
      <c r="F629" s="156"/>
      <c r="G629" s="115">
        <v>3</v>
      </c>
      <c r="H629" s="115">
        <v>11</v>
      </c>
      <c r="I629" s="115"/>
      <c r="J629" s="115">
        <v>1105</v>
      </c>
      <c r="K629" s="115">
        <v>59.91</v>
      </c>
      <c r="L629" s="115">
        <v>20000</v>
      </c>
      <c r="M629" s="115"/>
      <c r="N629" s="115"/>
      <c r="O629" s="431">
        <v>9421.3</v>
      </c>
      <c r="P629" s="445">
        <v>564430</v>
      </c>
      <c r="Q629" s="464" t="s">
        <v>66</v>
      </c>
      <c r="R629" s="484">
        <v>284430</v>
      </c>
      <c r="S629" s="484"/>
      <c r="T629" s="466">
        <v>280000</v>
      </c>
      <c r="U629" s="485"/>
      <c r="V629" s="405"/>
      <c r="W629" s="466">
        <v>3894</v>
      </c>
      <c r="X629" s="466">
        <v>550</v>
      </c>
      <c r="Y629" s="466"/>
      <c r="Z629" s="83" t="s">
        <v>48</v>
      </c>
      <c r="AA629" s="294"/>
      <c r="AB629" s="83">
        <v>3000</v>
      </c>
      <c r="AC629" s="83"/>
      <c r="AD629" s="83"/>
      <c r="AE629" s="83"/>
      <c r="AF629" s="467"/>
      <c r="AG629" s="247">
        <v>42748</v>
      </c>
      <c r="AH629" s="407">
        <f t="shared" ref="AH629:AH637" si="214">W629+X629+R629</f>
        <v>288874</v>
      </c>
      <c r="AI629" s="132">
        <f t="shared" si="211"/>
        <v>291874</v>
      </c>
      <c r="AJ629" s="132">
        <f t="shared" si="212"/>
        <v>288874</v>
      </c>
      <c r="AK629" s="132">
        <f t="shared" si="213"/>
        <v>3000</v>
      </c>
      <c r="AL629" s="176"/>
      <c r="AM629" s="115" t="s">
        <v>974</v>
      </c>
      <c r="AN629" s="246">
        <v>44886</v>
      </c>
      <c r="AO629" s="259"/>
      <c r="AP629" s="202"/>
      <c r="AQ629" s="202"/>
      <c r="AR629" s="202"/>
    </row>
    <row r="630" s="422" customFormat="1" customHeight="1" spans="1:44">
      <c r="A630" s="106" t="s">
        <v>2284</v>
      </c>
      <c r="B630" s="107" t="s">
        <v>2285</v>
      </c>
      <c r="C630" s="406" t="s">
        <v>2286</v>
      </c>
      <c r="D630" s="193" t="str">
        <f t="shared" si="192"/>
        <v>刘栋411421199605016438</v>
      </c>
      <c r="E630" s="155">
        <v>18638247762</v>
      </c>
      <c r="F630" s="115"/>
      <c r="G630" s="115">
        <v>3</v>
      </c>
      <c r="H630" s="115">
        <v>9</v>
      </c>
      <c r="I630" s="115"/>
      <c r="J630" s="115">
        <v>930</v>
      </c>
      <c r="K630" s="115">
        <v>57.33</v>
      </c>
      <c r="L630" s="115">
        <v>20000</v>
      </c>
      <c r="M630" s="115"/>
      <c r="N630" s="115"/>
      <c r="O630" s="431">
        <v>9460.4</v>
      </c>
      <c r="P630" s="445">
        <v>542365</v>
      </c>
      <c r="Q630" s="464" t="s">
        <v>66</v>
      </c>
      <c r="R630" s="465">
        <v>272365</v>
      </c>
      <c r="S630" s="465"/>
      <c r="T630" s="466">
        <v>270000</v>
      </c>
      <c r="U630" s="466"/>
      <c r="V630" s="466"/>
      <c r="W630" s="466">
        <v>3726</v>
      </c>
      <c r="X630" s="466">
        <v>550</v>
      </c>
      <c r="Y630" s="466"/>
      <c r="Z630" s="83"/>
      <c r="AA630" s="294"/>
      <c r="AB630" s="83">
        <v>3000</v>
      </c>
      <c r="AC630" s="83"/>
      <c r="AD630" s="83"/>
      <c r="AE630" s="83"/>
      <c r="AF630" s="467"/>
      <c r="AG630" s="247">
        <v>42580</v>
      </c>
      <c r="AH630" s="407">
        <f t="shared" si="214"/>
        <v>276641</v>
      </c>
      <c r="AI630" s="132">
        <f t="shared" si="211"/>
        <v>279641</v>
      </c>
      <c r="AJ630" s="132">
        <f t="shared" si="212"/>
        <v>276641</v>
      </c>
      <c r="AK630" s="132">
        <f t="shared" si="213"/>
        <v>3000</v>
      </c>
      <c r="AL630" s="176"/>
      <c r="AM630" s="115" t="s">
        <v>974</v>
      </c>
      <c r="AN630" s="246">
        <v>44886</v>
      </c>
      <c r="AO630" s="259"/>
      <c r="AP630" s="202"/>
      <c r="AQ630" s="202"/>
      <c r="AR630" s="202"/>
    </row>
    <row r="631" s="422" customFormat="1" customHeight="1" spans="1:44">
      <c r="A631" s="106" t="s">
        <v>2287</v>
      </c>
      <c r="B631" s="107" t="s">
        <v>239</v>
      </c>
      <c r="C631" s="406" t="s">
        <v>2288</v>
      </c>
      <c r="D631" s="193" t="str">
        <f t="shared" si="192"/>
        <v>刘磊411421199712086431</v>
      </c>
      <c r="E631" s="155" t="s">
        <v>2289</v>
      </c>
      <c r="F631" s="115"/>
      <c r="G631" s="115">
        <v>3</v>
      </c>
      <c r="H631" s="115">
        <v>9</v>
      </c>
      <c r="I631" s="115"/>
      <c r="J631" s="115">
        <v>929</v>
      </c>
      <c r="K631" s="115">
        <v>57.45</v>
      </c>
      <c r="L631" s="115">
        <v>20000</v>
      </c>
      <c r="M631" s="115"/>
      <c r="N631" s="115"/>
      <c r="O631" s="431">
        <v>9461.02</v>
      </c>
      <c r="P631" s="445">
        <v>543536</v>
      </c>
      <c r="Q631" s="464" t="s">
        <v>66</v>
      </c>
      <c r="R631" s="465">
        <v>273536</v>
      </c>
      <c r="S631" s="465"/>
      <c r="T631" s="466">
        <v>270000</v>
      </c>
      <c r="U631" s="466"/>
      <c r="V631" s="466"/>
      <c r="W631" s="466">
        <v>3734</v>
      </c>
      <c r="X631" s="466">
        <v>550</v>
      </c>
      <c r="Y631" s="466"/>
      <c r="Z631" s="83"/>
      <c r="AA631" s="294"/>
      <c r="AB631" s="83">
        <v>3000</v>
      </c>
      <c r="AC631" s="83"/>
      <c r="AD631" s="83"/>
      <c r="AE631" s="83"/>
      <c r="AF631" s="467"/>
      <c r="AG631" s="247">
        <v>42580</v>
      </c>
      <c r="AH631" s="407">
        <f t="shared" si="214"/>
        <v>277820</v>
      </c>
      <c r="AI631" s="132">
        <f t="shared" si="211"/>
        <v>280820</v>
      </c>
      <c r="AJ631" s="132">
        <f t="shared" si="212"/>
        <v>277820</v>
      </c>
      <c r="AK631" s="132">
        <f t="shared" si="213"/>
        <v>3000</v>
      </c>
      <c r="AL631" s="176"/>
      <c r="AM631" s="115" t="s">
        <v>974</v>
      </c>
      <c r="AN631" s="246">
        <v>44886</v>
      </c>
      <c r="AO631" s="259"/>
      <c r="AP631" s="202"/>
      <c r="AQ631" s="202"/>
      <c r="AR631" s="202"/>
    </row>
    <row r="632" s="422" customFormat="1" customHeight="1" spans="1:44">
      <c r="A632" s="106" t="s">
        <v>2290</v>
      </c>
      <c r="B632" s="107" t="s">
        <v>2291</v>
      </c>
      <c r="C632" s="406" t="s">
        <v>2292</v>
      </c>
      <c r="D632" s="193" t="str">
        <f t="shared" si="192"/>
        <v>杨建萍    张祺410104197102021563</v>
      </c>
      <c r="E632" s="155">
        <v>15038206018</v>
      </c>
      <c r="F632" s="115"/>
      <c r="G632" s="115">
        <v>3</v>
      </c>
      <c r="H632" s="115">
        <v>9</v>
      </c>
      <c r="I632" s="115"/>
      <c r="J632" s="115">
        <v>906</v>
      </c>
      <c r="K632" s="115">
        <v>61.66</v>
      </c>
      <c r="L632" s="115">
        <v>20000</v>
      </c>
      <c r="M632" s="115"/>
      <c r="N632" s="115"/>
      <c r="O632" s="431">
        <v>8683.7</v>
      </c>
      <c r="P632" s="445">
        <v>535437</v>
      </c>
      <c r="Q632" s="464" t="s">
        <v>66</v>
      </c>
      <c r="R632" s="465">
        <v>275437</v>
      </c>
      <c r="S632" s="465"/>
      <c r="T632" s="466">
        <v>260000</v>
      </c>
      <c r="U632" s="466"/>
      <c r="V632" s="466"/>
      <c r="W632" s="466">
        <v>4007</v>
      </c>
      <c r="X632" s="466">
        <v>560</v>
      </c>
      <c r="Y632" s="466"/>
      <c r="Z632" s="83"/>
      <c r="AA632" s="294"/>
      <c r="AB632" s="83">
        <v>3000</v>
      </c>
      <c r="AC632" s="83"/>
      <c r="AD632" s="83"/>
      <c r="AE632" s="83"/>
      <c r="AF632" s="467"/>
      <c r="AG632" s="247">
        <v>42580</v>
      </c>
      <c r="AH632" s="407">
        <f t="shared" si="214"/>
        <v>280004</v>
      </c>
      <c r="AI632" s="132">
        <f t="shared" si="211"/>
        <v>283004</v>
      </c>
      <c r="AJ632" s="132">
        <f t="shared" si="212"/>
        <v>280004</v>
      </c>
      <c r="AK632" s="132">
        <f t="shared" si="213"/>
        <v>3000</v>
      </c>
      <c r="AL632" s="176"/>
      <c r="AM632" s="115" t="s">
        <v>974</v>
      </c>
      <c r="AN632" s="246">
        <v>44886</v>
      </c>
      <c r="AO632" s="259"/>
      <c r="AP632" s="202"/>
      <c r="AQ632" s="202"/>
      <c r="AR632" s="202"/>
    </row>
    <row r="633" s="422" customFormat="1" customHeight="1" spans="1:44">
      <c r="A633" s="106" t="s">
        <v>2293</v>
      </c>
      <c r="B633" s="107" t="s">
        <v>2291</v>
      </c>
      <c r="C633" s="406" t="s">
        <v>2292</v>
      </c>
      <c r="D633" s="193" t="str">
        <f t="shared" si="192"/>
        <v>杨建萍    张祺410104197102021563</v>
      </c>
      <c r="E633" s="155">
        <v>15038206018</v>
      </c>
      <c r="F633" s="115"/>
      <c r="G633" s="115">
        <v>3</v>
      </c>
      <c r="H633" s="115">
        <v>9</v>
      </c>
      <c r="I633" s="115"/>
      <c r="J633" s="115">
        <v>907</v>
      </c>
      <c r="K633" s="115">
        <v>61.94</v>
      </c>
      <c r="L633" s="115">
        <v>20000</v>
      </c>
      <c r="M633" s="115"/>
      <c r="N633" s="115"/>
      <c r="O633" s="431">
        <v>8684.09</v>
      </c>
      <c r="P633" s="445">
        <v>537893</v>
      </c>
      <c r="Q633" s="501" t="s">
        <v>66</v>
      </c>
      <c r="R633" s="518">
        <v>277893</v>
      </c>
      <c r="S633" s="465"/>
      <c r="T633" s="466">
        <v>260000</v>
      </c>
      <c r="U633" s="485"/>
      <c r="V633" s="466"/>
      <c r="W633" s="466">
        <v>4026</v>
      </c>
      <c r="X633" s="466">
        <v>560</v>
      </c>
      <c r="Y633" s="466"/>
      <c r="Z633" s="83"/>
      <c r="AA633" s="294"/>
      <c r="AB633" s="83">
        <v>3000</v>
      </c>
      <c r="AC633" s="83"/>
      <c r="AD633" s="83"/>
      <c r="AE633" s="83"/>
      <c r="AF633" s="467"/>
      <c r="AG633" s="247">
        <v>42580</v>
      </c>
      <c r="AH633" s="407">
        <f t="shared" si="214"/>
        <v>282479</v>
      </c>
      <c r="AI633" s="132">
        <f t="shared" si="211"/>
        <v>285479</v>
      </c>
      <c r="AJ633" s="132">
        <f t="shared" si="212"/>
        <v>282479</v>
      </c>
      <c r="AK633" s="132">
        <f t="shared" si="213"/>
        <v>3000</v>
      </c>
      <c r="AL633" s="176"/>
      <c r="AM633" s="115" t="s">
        <v>974</v>
      </c>
      <c r="AN633" s="246">
        <v>44886</v>
      </c>
      <c r="AO633" s="259"/>
      <c r="AP633" s="202"/>
      <c r="AQ633" s="202"/>
      <c r="AR633" s="202"/>
    </row>
    <row r="634" s="422" customFormat="1" customHeight="1" spans="1:44">
      <c r="A634" s="106" t="s">
        <v>2294</v>
      </c>
      <c r="B634" s="107" t="s">
        <v>2291</v>
      </c>
      <c r="C634" s="406" t="s">
        <v>2292</v>
      </c>
      <c r="D634" s="193" t="str">
        <f t="shared" si="192"/>
        <v>杨建萍    张祺410104197102021563</v>
      </c>
      <c r="E634" s="155">
        <v>15038206018</v>
      </c>
      <c r="F634" s="115"/>
      <c r="G634" s="115">
        <v>3</v>
      </c>
      <c r="H634" s="115">
        <v>9</v>
      </c>
      <c r="I634" s="115"/>
      <c r="J634" s="115">
        <v>908</v>
      </c>
      <c r="K634" s="115">
        <v>61.98</v>
      </c>
      <c r="L634" s="115">
        <v>20000</v>
      </c>
      <c r="M634" s="115"/>
      <c r="N634" s="115"/>
      <c r="O634" s="431">
        <v>8683.43</v>
      </c>
      <c r="P634" s="445">
        <v>538199</v>
      </c>
      <c r="Q634" s="464" t="s">
        <v>66</v>
      </c>
      <c r="R634" s="465">
        <v>278199</v>
      </c>
      <c r="S634" s="465"/>
      <c r="T634" s="466">
        <v>260000</v>
      </c>
      <c r="U634" s="466"/>
      <c r="V634" s="466"/>
      <c r="W634" s="466">
        <v>4028</v>
      </c>
      <c r="X634" s="466">
        <v>560</v>
      </c>
      <c r="Y634" s="466"/>
      <c r="Z634" s="83"/>
      <c r="AA634" s="294"/>
      <c r="AB634" s="83">
        <v>3000</v>
      </c>
      <c r="AC634" s="83"/>
      <c r="AD634" s="83"/>
      <c r="AE634" s="83"/>
      <c r="AF634" s="467"/>
      <c r="AG634" s="247">
        <v>42580</v>
      </c>
      <c r="AH634" s="407">
        <f t="shared" si="214"/>
        <v>282787</v>
      </c>
      <c r="AI634" s="132">
        <f t="shared" si="211"/>
        <v>285787</v>
      </c>
      <c r="AJ634" s="132">
        <f t="shared" si="212"/>
        <v>282787</v>
      </c>
      <c r="AK634" s="132">
        <f t="shared" si="213"/>
        <v>3000</v>
      </c>
      <c r="AL634" s="176"/>
      <c r="AM634" s="115" t="s">
        <v>974</v>
      </c>
      <c r="AN634" s="246">
        <v>44886</v>
      </c>
      <c r="AO634" s="259"/>
      <c r="AP634" s="202"/>
      <c r="AQ634" s="202"/>
      <c r="AR634" s="202"/>
    </row>
    <row r="635" s="422" customFormat="1" customHeight="1" spans="1:44">
      <c r="A635" s="106" t="s">
        <v>2295</v>
      </c>
      <c r="B635" s="107" t="s">
        <v>2291</v>
      </c>
      <c r="C635" s="406" t="s">
        <v>2292</v>
      </c>
      <c r="D635" s="193" t="str">
        <f t="shared" si="192"/>
        <v>杨建萍    张祺410104197102021563</v>
      </c>
      <c r="E635" s="155">
        <v>15038206018</v>
      </c>
      <c r="F635" s="115"/>
      <c r="G635" s="115">
        <v>3</v>
      </c>
      <c r="H635" s="115">
        <v>9</v>
      </c>
      <c r="I635" s="115"/>
      <c r="J635" s="115">
        <v>909</v>
      </c>
      <c r="K635" s="115">
        <v>62.31</v>
      </c>
      <c r="L635" s="115">
        <v>20000</v>
      </c>
      <c r="M635" s="115"/>
      <c r="N635" s="115"/>
      <c r="O635" s="431">
        <v>8636.33</v>
      </c>
      <c r="P635" s="445">
        <v>538130</v>
      </c>
      <c r="Q635" s="464" t="s">
        <v>66</v>
      </c>
      <c r="R635" s="465">
        <v>278130</v>
      </c>
      <c r="S635" s="465"/>
      <c r="T635" s="466">
        <v>260000</v>
      </c>
      <c r="U635" s="466"/>
      <c r="V635" s="466"/>
      <c r="W635" s="466">
        <v>4050</v>
      </c>
      <c r="X635" s="466">
        <v>560</v>
      </c>
      <c r="Y635" s="466"/>
      <c r="Z635" s="83"/>
      <c r="AA635" s="294"/>
      <c r="AB635" s="83">
        <v>3000</v>
      </c>
      <c r="AC635" s="83"/>
      <c r="AD635" s="83"/>
      <c r="AE635" s="83"/>
      <c r="AF635" s="467"/>
      <c r="AG635" s="247">
        <v>42580</v>
      </c>
      <c r="AH635" s="407">
        <f t="shared" si="214"/>
        <v>282740</v>
      </c>
      <c r="AI635" s="132">
        <f t="shared" si="211"/>
        <v>285740</v>
      </c>
      <c r="AJ635" s="132">
        <f t="shared" si="212"/>
        <v>282740</v>
      </c>
      <c r="AK635" s="132">
        <f t="shared" si="213"/>
        <v>3000</v>
      </c>
      <c r="AL635" s="176"/>
      <c r="AM635" s="115" t="s">
        <v>974</v>
      </c>
      <c r="AN635" s="246">
        <v>44886</v>
      </c>
      <c r="AO635" s="259"/>
      <c r="AP635" s="202"/>
      <c r="AQ635" s="202"/>
      <c r="AR635" s="202"/>
    </row>
    <row r="636" s="422" customFormat="1" customHeight="1" spans="1:44">
      <c r="A636" s="106" t="s">
        <v>2296</v>
      </c>
      <c r="B636" s="107" t="s">
        <v>2291</v>
      </c>
      <c r="C636" s="406" t="s">
        <v>2292</v>
      </c>
      <c r="D636" s="193" t="str">
        <f t="shared" si="192"/>
        <v>杨建萍    张祺410104197102021563</v>
      </c>
      <c r="E636" s="155">
        <v>15038206018</v>
      </c>
      <c r="F636" s="115"/>
      <c r="G636" s="115">
        <v>3</v>
      </c>
      <c r="H636" s="115">
        <v>9</v>
      </c>
      <c r="I636" s="115"/>
      <c r="J636" s="115">
        <v>910</v>
      </c>
      <c r="K636" s="115">
        <v>63</v>
      </c>
      <c r="L636" s="115">
        <v>20000</v>
      </c>
      <c r="M636" s="115"/>
      <c r="N636" s="115"/>
      <c r="O636" s="431">
        <v>8635.93</v>
      </c>
      <c r="P636" s="445">
        <v>544064</v>
      </c>
      <c r="Q636" s="464" t="s">
        <v>66</v>
      </c>
      <c r="R636" s="465">
        <v>274064</v>
      </c>
      <c r="S636" s="465"/>
      <c r="T636" s="466">
        <v>270000</v>
      </c>
      <c r="U636" s="466"/>
      <c r="V636" s="466"/>
      <c r="W636" s="466">
        <v>4095</v>
      </c>
      <c r="X636" s="466">
        <v>560</v>
      </c>
      <c r="Y636" s="466"/>
      <c r="Z636" s="83"/>
      <c r="AA636" s="294"/>
      <c r="AB636" s="83">
        <v>3000</v>
      </c>
      <c r="AC636" s="83"/>
      <c r="AD636" s="83"/>
      <c r="AE636" s="83"/>
      <c r="AF636" s="467"/>
      <c r="AG636" s="247">
        <v>42580</v>
      </c>
      <c r="AH636" s="407">
        <f t="shared" si="214"/>
        <v>278719</v>
      </c>
      <c r="AI636" s="132">
        <f t="shared" si="211"/>
        <v>281719</v>
      </c>
      <c r="AJ636" s="132">
        <f t="shared" si="212"/>
        <v>278719</v>
      </c>
      <c r="AK636" s="132">
        <f t="shared" si="213"/>
        <v>3000</v>
      </c>
      <c r="AL636" s="176"/>
      <c r="AM636" s="115" t="s">
        <v>974</v>
      </c>
      <c r="AN636" s="246">
        <v>44886</v>
      </c>
      <c r="AO636" s="259"/>
      <c r="AP636" s="202"/>
      <c r="AQ636" s="202"/>
      <c r="AR636" s="202"/>
    </row>
    <row r="637" s="422" customFormat="1" customHeight="1" spans="1:44">
      <c r="A637" s="106" t="s">
        <v>2297</v>
      </c>
      <c r="B637" s="107" t="s">
        <v>2291</v>
      </c>
      <c r="C637" s="406" t="s">
        <v>2292</v>
      </c>
      <c r="D637" s="193" t="str">
        <f t="shared" si="192"/>
        <v>杨建萍    张祺410104197102021563</v>
      </c>
      <c r="E637" s="155">
        <v>15038206018</v>
      </c>
      <c r="F637" s="115"/>
      <c r="G637" s="115">
        <v>3</v>
      </c>
      <c r="H637" s="115">
        <v>9</v>
      </c>
      <c r="I637" s="115"/>
      <c r="J637" s="115">
        <v>911</v>
      </c>
      <c r="K637" s="115">
        <v>64.5</v>
      </c>
      <c r="L637" s="115">
        <v>20000</v>
      </c>
      <c r="M637" s="115"/>
      <c r="N637" s="115"/>
      <c r="O637" s="431">
        <v>8636.25</v>
      </c>
      <c r="P637" s="445">
        <v>557038</v>
      </c>
      <c r="Q637" s="464" t="s">
        <v>66</v>
      </c>
      <c r="R637" s="465">
        <v>287038</v>
      </c>
      <c r="S637" s="465"/>
      <c r="T637" s="466">
        <v>270000</v>
      </c>
      <c r="U637" s="466"/>
      <c r="V637" s="466"/>
      <c r="W637" s="466">
        <v>4192</v>
      </c>
      <c r="X637" s="466">
        <v>560</v>
      </c>
      <c r="Y637" s="466"/>
      <c r="Z637" s="83"/>
      <c r="AA637" s="294"/>
      <c r="AB637" s="83">
        <v>3000</v>
      </c>
      <c r="AC637" s="83"/>
      <c r="AD637" s="83"/>
      <c r="AE637" s="83"/>
      <c r="AF637" s="467"/>
      <c r="AG637" s="247">
        <v>42580</v>
      </c>
      <c r="AH637" s="407">
        <f t="shared" si="214"/>
        <v>291790</v>
      </c>
      <c r="AI637" s="132">
        <f t="shared" si="211"/>
        <v>294790</v>
      </c>
      <c r="AJ637" s="132">
        <f t="shared" si="212"/>
        <v>291790</v>
      </c>
      <c r="AK637" s="132">
        <f t="shared" si="213"/>
        <v>3000</v>
      </c>
      <c r="AL637" s="176"/>
      <c r="AM637" s="115" t="s">
        <v>974</v>
      </c>
      <c r="AN637" s="246">
        <v>44886</v>
      </c>
      <c r="AO637" s="259"/>
      <c r="AP637" s="202"/>
      <c r="AQ637" s="202"/>
      <c r="AR637" s="202"/>
    </row>
    <row r="638" s="422" customFormat="1" customHeight="1" spans="1:44">
      <c r="A638" s="106" t="s">
        <v>2298</v>
      </c>
      <c r="B638" s="404" t="s">
        <v>2299</v>
      </c>
      <c r="C638" s="406" t="s">
        <v>2300</v>
      </c>
      <c r="D638" s="193" t="str">
        <f t="shared" si="192"/>
        <v>郭大鹏411527198504020533</v>
      </c>
      <c r="E638" s="166" t="s">
        <v>2301</v>
      </c>
      <c r="F638" s="156"/>
      <c r="G638" s="115">
        <v>2</v>
      </c>
      <c r="H638" s="115">
        <v>24</v>
      </c>
      <c r="I638" s="115"/>
      <c r="J638" s="115">
        <v>2403</v>
      </c>
      <c r="K638" s="115">
        <v>47.97</v>
      </c>
      <c r="L638" s="239">
        <v>30000</v>
      </c>
      <c r="M638" s="239"/>
      <c r="N638" s="239"/>
      <c r="O638" s="431">
        <v>15512.49</v>
      </c>
      <c r="P638" s="239">
        <v>744134</v>
      </c>
      <c r="Q638" s="464" t="s">
        <v>66</v>
      </c>
      <c r="R638" s="83">
        <v>374134</v>
      </c>
      <c r="S638" s="83"/>
      <c r="T638" s="464">
        <v>0</v>
      </c>
      <c r="U638" s="254"/>
      <c r="V638" s="464">
        <v>370000</v>
      </c>
      <c r="W638" s="83">
        <v>3118</v>
      </c>
      <c r="X638" s="445">
        <v>550</v>
      </c>
      <c r="Y638" s="445"/>
      <c r="Z638" s="83" t="s">
        <v>48</v>
      </c>
      <c r="AA638" s="294"/>
      <c r="AB638" s="83"/>
      <c r="AC638" s="83"/>
      <c r="AD638" s="83"/>
      <c r="AE638" s="401"/>
      <c r="AF638" s="401"/>
      <c r="AG638" s="247">
        <v>43805</v>
      </c>
      <c r="AH638" s="407">
        <f>X638+W638+R638</f>
        <v>377802</v>
      </c>
      <c r="AI638" s="132">
        <f t="shared" si="211"/>
        <v>747802</v>
      </c>
      <c r="AJ638" s="132">
        <f t="shared" si="212"/>
        <v>747802</v>
      </c>
      <c r="AK638" s="132">
        <f t="shared" si="213"/>
        <v>0</v>
      </c>
      <c r="AL638" s="176"/>
      <c r="AM638" s="115" t="s">
        <v>974</v>
      </c>
      <c r="AN638" s="246">
        <v>44886</v>
      </c>
      <c r="AO638" s="259"/>
      <c r="AP638" s="202"/>
      <c r="AQ638" s="202"/>
      <c r="AR638" s="202"/>
    </row>
    <row r="639" s="422" customFormat="1" customHeight="1" spans="1:44">
      <c r="A639" s="106" t="s">
        <v>2302</v>
      </c>
      <c r="B639" s="107" t="s">
        <v>2303</v>
      </c>
      <c r="C639" s="406" t="s">
        <v>2304</v>
      </c>
      <c r="D639" s="193" t="str">
        <f t="shared" si="192"/>
        <v>韩梅梅410322198806166825</v>
      </c>
      <c r="E639" s="155">
        <v>13783115696</v>
      </c>
      <c r="F639" s="115"/>
      <c r="G639" s="115">
        <v>3</v>
      </c>
      <c r="H639" s="115">
        <v>15</v>
      </c>
      <c r="I639" s="115"/>
      <c r="J639" s="115">
        <v>1526</v>
      </c>
      <c r="K639" s="115">
        <v>56.59</v>
      </c>
      <c r="L639" s="115">
        <v>20000</v>
      </c>
      <c r="M639" s="115"/>
      <c r="N639" s="115"/>
      <c r="O639" s="431">
        <v>11586.85</v>
      </c>
      <c r="P639" s="445">
        <v>655700</v>
      </c>
      <c r="Q639" s="464" t="s">
        <v>66</v>
      </c>
      <c r="R639" s="484">
        <v>335700</v>
      </c>
      <c r="S639" s="484"/>
      <c r="T639" s="466" t="s">
        <v>47</v>
      </c>
      <c r="U639" s="466"/>
      <c r="V639" s="405">
        <v>320000</v>
      </c>
      <c r="W639" s="466">
        <v>3678</v>
      </c>
      <c r="X639" s="466">
        <v>550</v>
      </c>
      <c r="Y639" s="466"/>
      <c r="Z639" s="83" t="s">
        <v>48</v>
      </c>
      <c r="AA639" s="294"/>
      <c r="AB639" s="83">
        <f>3000+1582</f>
        <v>4582</v>
      </c>
      <c r="AC639" s="83"/>
      <c r="AD639" s="83">
        <v>-320000</v>
      </c>
      <c r="AE639" s="401"/>
      <c r="AF639" s="401"/>
      <c r="AG639" s="247">
        <v>43134</v>
      </c>
      <c r="AH639" s="407">
        <f>X639+W639+R639</f>
        <v>339928</v>
      </c>
      <c r="AI639" s="132">
        <f t="shared" ref="AI639:AI645" si="215">R639+V639+W639+X639+AA639+AB639+AC639+AD639</f>
        <v>344510</v>
      </c>
      <c r="AJ639" s="132">
        <f t="shared" ref="AJ639:AJ645" si="216">R639+W639+V639+X639+AA639</f>
        <v>659928</v>
      </c>
      <c r="AK639" s="132">
        <f t="shared" ref="AK639:AK645" si="217">AI639-AJ639</f>
        <v>-315418</v>
      </c>
      <c r="AL639" s="176" t="s">
        <v>2305</v>
      </c>
      <c r="AM639" s="115" t="s">
        <v>974</v>
      </c>
      <c r="AN639" s="246">
        <v>44886</v>
      </c>
      <c r="AO639" s="259"/>
      <c r="AP639" s="202"/>
      <c r="AQ639" s="202"/>
      <c r="AR639" s="202"/>
    </row>
    <row r="640" s="422" customFormat="1" customHeight="1" spans="1:44">
      <c r="A640" s="106" t="s">
        <v>2306</v>
      </c>
      <c r="B640" s="107" t="s">
        <v>2307</v>
      </c>
      <c r="C640" s="406" t="s">
        <v>2308</v>
      </c>
      <c r="D640" s="193" t="str">
        <f t="shared" si="192"/>
        <v>杨艳会410523198610085043</v>
      </c>
      <c r="E640" s="166" t="s">
        <v>2309</v>
      </c>
      <c r="F640" s="156"/>
      <c r="G640" s="115">
        <v>3</v>
      </c>
      <c r="H640" s="115">
        <v>23</v>
      </c>
      <c r="I640" s="115"/>
      <c r="J640" s="115">
        <v>2323</v>
      </c>
      <c r="K640" s="115">
        <v>59.07</v>
      </c>
      <c r="L640" s="115">
        <v>30000</v>
      </c>
      <c r="M640" s="115"/>
      <c r="N640" s="115"/>
      <c r="O640" s="431">
        <v>14810.25</v>
      </c>
      <c r="P640" s="445">
        <v>874841</v>
      </c>
      <c r="Q640" s="464" t="s">
        <v>66</v>
      </c>
      <c r="R640" s="465">
        <v>444842</v>
      </c>
      <c r="S640" s="465"/>
      <c r="T640" s="464">
        <v>430000</v>
      </c>
      <c r="U640" s="466"/>
      <c r="V640" s="466"/>
      <c r="W640" s="466">
        <v>3839</v>
      </c>
      <c r="X640" s="466">
        <v>550</v>
      </c>
      <c r="Y640" s="466"/>
      <c r="Z640" s="83"/>
      <c r="AA640" s="294"/>
      <c r="AB640" s="83"/>
      <c r="AC640" s="181"/>
      <c r="AD640" s="181"/>
      <c r="AE640" s="181"/>
      <c r="AF640" s="181"/>
      <c r="AG640" s="247">
        <v>43135</v>
      </c>
      <c r="AH640" s="133"/>
      <c r="AI640" s="132">
        <f t="shared" si="215"/>
        <v>449231</v>
      </c>
      <c r="AJ640" s="132">
        <f t="shared" si="216"/>
        <v>449231</v>
      </c>
      <c r="AK640" s="132">
        <f t="shared" si="217"/>
        <v>0</v>
      </c>
      <c r="AL640" s="176"/>
      <c r="AM640" s="115" t="s">
        <v>974</v>
      </c>
      <c r="AN640" s="246">
        <v>44886</v>
      </c>
      <c r="AO640" s="259"/>
      <c r="AP640" s="202"/>
      <c r="AQ640" s="202"/>
      <c r="AR640" s="202"/>
    </row>
    <row r="641" s="422" customFormat="1" customHeight="1" spans="1:44">
      <c r="A641" s="106" t="s">
        <v>2310</v>
      </c>
      <c r="B641" s="404" t="s">
        <v>2311</v>
      </c>
      <c r="C641" s="406" t="s">
        <v>2312</v>
      </c>
      <c r="D641" s="193" t="str">
        <f t="shared" si="192"/>
        <v>钟金凤412821197810251561</v>
      </c>
      <c r="E641" s="166" t="s">
        <v>2313</v>
      </c>
      <c r="F641" s="156"/>
      <c r="G641" s="115">
        <v>2</v>
      </c>
      <c r="H641" s="115">
        <v>20</v>
      </c>
      <c r="I641" s="115"/>
      <c r="J641" s="115">
        <v>2016</v>
      </c>
      <c r="K641" s="115">
        <v>39.54</v>
      </c>
      <c r="L641" s="239">
        <v>30000</v>
      </c>
      <c r="M641" s="239"/>
      <c r="N641" s="239"/>
      <c r="O641" s="431">
        <v>14618.11</v>
      </c>
      <c r="P641" s="239">
        <v>578000</v>
      </c>
      <c r="Q641" s="464" t="s">
        <v>66</v>
      </c>
      <c r="R641" s="83">
        <v>218000</v>
      </c>
      <c r="S641" s="83"/>
      <c r="T641" s="464">
        <v>360000</v>
      </c>
      <c r="U641" s="83"/>
      <c r="V641" s="445"/>
      <c r="W641" s="83">
        <v>2570</v>
      </c>
      <c r="X641" s="445">
        <v>550</v>
      </c>
      <c r="Y641" s="445"/>
      <c r="Z641" s="83"/>
      <c r="AA641" s="294"/>
      <c r="AB641" s="83"/>
      <c r="AC641" s="83"/>
      <c r="AD641" s="83"/>
      <c r="AE641" s="181"/>
      <c r="AF641" s="181"/>
      <c r="AG641" s="247">
        <v>43275</v>
      </c>
      <c r="AH641" s="407">
        <f t="shared" ref="AH641:AH647" si="218">X641+W641+R641</f>
        <v>221120</v>
      </c>
      <c r="AI641" s="132">
        <f t="shared" si="215"/>
        <v>221120</v>
      </c>
      <c r="AJ641" s="132">
        <f t="shared" si="216"/>
        <v>221120</v>
      </c>
      <c r="AK641" s="132">
        <f t="shared" si="217"/>
        <v>0</v>
      </c>
      <c r="AL641" s="176"/>
      <c r="AM641" s="115" t="s">
        <v>974</v>
      </c>
      <c r="AN641" s="246">
        <v>44886</v>
      </c>
      <c r="AO641" s="259"/>
      <c r="AP641" s="202"/>
      <c r="AQ641" s="202"/>
      <c r="AR641" s="202"/>
    </row>
    <row r="642" s="422" customFormat="1" customHeight="1" spans="1:44">
      <c r="A642" s="106" t="s">
        <v>2314</v>
      </c>
      <c r="B642" s="404" t="s">
        <v>2311</v>
      </c>
      <c r="C642" s="406" t="s">
        <v>2312</v>
      </c>
      <c r="D642" s="193" t="str">
        <f t="shared" si="192"/>
        <v>钟金凤412821197810251561</v>
      </c>
      <c r="E642" s="166" t="s">
        <v>2315</v>
      </c>
      <c r="F642" s="156"/>
      <c r="G642" s="115">
        <v>2</v>
      </c>
      <c r="H642" s="115">
        <v>24</v>
      </c>
      <c r="I642" s="115"/>
      <c r="J642" s="115">
        <v>2416</v>
      </c>
      <c r="K642" s="115">
        <v>39.54</v>
      </c>
      <c r="L642" s="239">
        <v>30000</v>
      </c>
      <c r="M642" s="239"/>
      <c r="N642" s="239"/>
      <c r="O642" s="431">
        <v>14567.53</v>
      </c>
      <c r="P642" s="239">
        <v>576000</v>
      </c>
      <c r="Q642" s="464" t="s">
        <v>66</v>
      </c>
      <c r="R642" s="83">
        <v>216000</v>
      </c>
      <c r="S642" s="83"/>
      <c r="T642" s="464">
        <v>360000</v>
      </c>
      <c r="U642" s="83"/>
      <c r="V642" s="445"/>
      <c r="W642" s="83">
        <v>2570</v>
      </c>
      <c r="X642" s="445">
        <v>550</v>
      </c>
      <c r="Y642" s="445"/>
      <c r="Z642" s="83"/>
      <c r="AA642" s="294"/>
      <c r="AB642" s="83"/>
      <c r="AC642" s="83"/>
      <c r="AD642" s="83"/>
      <c r="AE642" s="181"/>
      <c r="AF642" s="181"/>
      <c r="AG642" s="247">
        <v>43275</v>
      </c>
      <c r="AH642" s="407">
        <f t="shared" si="218"/>
        <v>219120</v>
      </c>
      <c r="AI642" s="132">
        <f t="shared" si="215"/>
        <v>219120</v>
      </c>
      <c r="AJ642" s="132">
        <f t="shared" si="216"/>
        <v>219120</v>
      </c>
      <c r="AK642" s="132">
        <f t="shared" si="217"/>
        <v>0</v>
      </c>
      <c r="AL642" s="176"/>
      <c r="AM642" s="115" t="s">
        <v>974</v>
      </c>
      <c r="AN642" s="246">
        <v>44886</v>
      </c>
      <c r="AO642" s="259"/>
      <c r="AP642" s="202"/>
      <c r="AQ642" s="202"/>
      <c r="AR642" s="202"/>
    </row>
    <row r="643" s="422" customFormat="1" customHeight="1" spans="1:44">
      <c r="A643" s="106" t="s">
        <v>2316</v>
      </c>
      <c r="B643" s="107" t="s">
        <v>2317</v>
      </c>
      <c r="C643" s="406" t="s">
        <v>2318</v>
      </c>
      <c r="D643" s="193" t="str">
        <f t="shared" ref="D643:D706" si="219">B643&amp;C643</f>
        <v>于云霞412823197103094424</v>
      </c>
      <c r="E643" s="155">
        <v>13938485665</v>
      </c>
      <c r="F643" s="115"/>
      <c r="G643" s="115">
        <v>3</v>
      </c>
      <c r="H643" s="115">
        <v>13</v>
      </c>
      <c r="I643" s="115"/>
      <c r="J643" s="115">
        <v>1308</v>
      </c>
      <c r="K643" s="115">
        <v>61.98</v>
      </c>
      <c r="L643" s="115">
        <v>20000</v>
      </c>
      <c r="M643" s="115"/>
      <c r="N643" s="115"/>
      <c r="O643" s="431">
        <v>8907.24</v>
      </c>
      <c r="P643" s="445">
        <v>552071</v>
      </c>
      <c r="Q643" s="464" t="s">
        <v>66</v>
      </c>
      <c r="R643" s="484">
        <v>282071</v>
      </c>
      <c r="S643" s="484"/>
      <c r="T643" s="466" t="s">
        <v>47</v>
      </c>
      <c r="U643" s="466"/>
      <c r="V643" s="405">
        <v>270000</v>
      </c>
      <c r="W643" s="466">
        <v>4028</v>
      </c>
      <c r="X643" s="466">
        <v>550</v>
      </c>
      <c r="Y643" s="466"/>
      <c r="Z643" s="83" t="s">
        <v>48</v>
      </c>
      <c r="AA643" s="294"/>
      <c r="AB643" s="83"/>
      <c r="AC643" s="83"/>
      <c r="AD643" s="83"/>
      <c r="AE643" s="181"/>
      <c r="AF643" s="181"/>
      <c r="AG643" s="247">
        <v>43094</v>
      </c>
      <c r="AH643" s="407">
        <f t="shared" si="218"/>
        <v>286649</v>
      </c>
      <c r="AI643" s="132">
        <f t="shared" si="215"/>
        <v>556649</v>
      </c>
      <c r="AJ643" s="132">
        <f t="shared" si="216"/>
        <v>556649</v>
      </c>
      <c r="AK643" s="132">
        <f t="shared" si="217"/>
        <v>0</v>
      </c>
      <c r="AL643" s="530"/>
      <c r="AM643" s="115" t="s">
        <v>974</v>
      </c>
      <c r="AN643" s="246">
        <v>44886</v>
      </c>
      <c r="AO643" s="259"/>
      <c r="AP643" s="202"/>
      <c r="AQ643" s="202"/>
      <c r="AR643" s="202"/>
    </row>
    <row r="644" s="422" customFormat="1" customHeight="1" spans="1:44">
      <c r="A644" s="106" t="s">
        <v>2319</v>
      </c>
      <c r="B644" s="107" t="s">
        <v>2320</v>
      </c>
      <c r="C644" s="406" t="s">
        <v>2321</v>
      </c>
      <c r="D644" s="193" t="str">
        <f t="shared" si="219"/>
        <v>刘国红410521197704034047</v>
      </c>
      <c r="E644" s="155">
        <v>18637152999</v>
      </c>
      <c r="F644" s="115"/>
      <c r="G644" s="115">
        <v>3</v>
      </c>
      <c r="H644" s="115">
        <v>13</v>
      </c>
      <c r="I644" s="115"/>
      <c r="J644" s="115">
        <v>1321</v>
      </c>
      <c r="K644" s="115">
        <v>71.53</v>
      </c>
      <c r="L644" s="115">
        <v>20000</v>
      </c>
      <c r="M644" s="115"/>
      <c r="N644" s="115"/>
      <c r="O644" s="431">
        <v>8472.11</v>
      </c>
      <c r="P644" s="445">
        <v>606010</v>
      </c>
      <c r="Q644" s="464" t="s">
        <v>56</v>
      </c>
      <c r="R644" s="465">
        <v>606010</v>
      </c>
      <c r="S644" s="465"/>
      <c r="T644" s="466" t="s">
        <v>47</v>
      </c>
      <c r="U644" s="466"/>
      <c r="V644" s="466"/>
      <c r="W644" s="466">
        <v>4649</v>
      </c>
      <c r="X644" s="466">
        <v>550</v>
      </c>
      <c r="Y644" s="466"/>
      <c r="Z644" s="83" t="s">
        <v>48</v>
      </c>
      <c r="AA644" s="294"/>
      <c r="AB644" s="83"/>
      <c r="AC644" s="83"/>
      <c r="AD644" s="83"/>
      <c r="AE644" s="181"/>
      <c r="AF644" s="181"/>
      <c r="AG644" s="247">
        <v>43277</v>
      </c>
      <c r="AH644" s="407">
        <f t="shared" si="218"/>
        <v>611209</v>
      </c>
      <c r="AI644" s="132">
        <f t="shared" si="215"/>
        <v>611209</v>
      </c>
      <c r="AJ644" s="132">
        <f t="shared" si="216"/>
        <v>611209</v>
      </c>
      <c r="AK644" s="132">
        <f t="shared" si="217"/>
        <v>0</v>
      </c>
      <c r="AL644" s="530"/>
      <c r="AM644" s="115" t="s">
        <v>974</v>
      </c>
      <c r="AN644" s="246">
        <v>44886</v>
      </c>
      <c r="AO644" s="259"/>
      <c r="AP644" s="202"/>
      <c r="AQ644" s="202"/>
      <c r="AR644" s="202"/>
    </row>
    <row r="645" s="422" customFormat="1" customHeight="1" spans="1:44">
      <c r="A645" s="106" t="s">
        <v>2322</v>
      </c>
      <c r="B645" s="107" t="s">
        <v>2323</v>
      </c>
      <c r="C645" s="406" t="s">
        <v>2324</v>
      </c>
      <c r="D645" s="193" t="str">
        <f t="shared" si="219"/>
        <v>段彬彬410303197212142582</v>
      </c>
      <c r="E645" s="155">
        <v>13937190009</v>
      </c>
      <c r="F645" s="115"/>
      <c r="G645" s="115">
        <v>3</v>
      </c>
      <c r="H645" s="115">
        <v>13</v>
      </c>
      <c r="I645" s="115"/>
      <c r="J645" s="115">
        <v>1311</v>
      </c>
      <c r="K645" s="115">
        <v>64.5</v>
      </c>
      <c r="L645" s="115">
        <v>20000</v>
      </c>
      <c r="M645" s="115"/>
      <c r="N645" s="115"/>
      <c r="O645" s="431">
        <v>8858.74</v>
      </c>
      <c r="P645" s="445">
        <v>571389</v>
      </c>
      <c r="Q645" s="464" t="s">
        <v>66</v>
      </c>
      <c r="R645" s="484">
        <v>291389</v>
      </c>
      <c r="S645" s="484"/>
      <c r="T645" s="466" t="s">
        <v>47</v>
      </c>
      <c r="U645" s="466"/>
      <c r="V645" s="405">
        <v>280000</v>
      </c>
      <c r="W645" s="466">
        <v>4192</v>
      </c>
      <c r="X645" s="466">
        <v>550</v>
      </c>
      <c r="Y645" s="466"/>
      <c r="Z645" s="83" t="s">
        <v>48</v>
      </c>
      <c r="AA645" s="294"/>
      <c r="AB645" s="83"/>
      <c r="AC645" s="83"/>
      <c r="AD645" s="83">
        <v>-280000</v>
      </c>
      <c r="AE645" s="181"/>
      <c r="AF645" s="181"/>
      <c r="AG645" s="247">
        <v>43094</v>
      </c>
      <c r="AH645" s="407">
        <f t="shared" si="218"/>
        <v>296131</v>
      </c>
      <c r="AI645" s="132">
        <f t="shared" ref="AI645:AI652" si="220">R645+V645+W645+X645+AA645+AB645+AC645+AD645</f>
        <v>296131</v>
      </c>
      <c r="AJ645" s="132">
        <f t="shared" ref="AJ645:AJ652" si="221">R645+W645+V645+X645+AA645</f>
        <v>576131</v>
      </c>
      <c r="AK645" s="132">
        <f t="shared" ref="AK645:AK652" si="222">AI645-AJ645</f>
        <v>-280000</v>
      </c>
      <c r="AL645" s="530" t="s">
        <v>2325</v>
      </c>
      <c r="AM645" s="115" t="s">
        <v>974</v>
      </c>
      <c r="AN645" s="246">
        <v>44886</v>
      </c>
      <c r="AO645" s="259"/>
      <c r="AP645" s="202"/>
      <c r="AQ645" s="202"/>
      <c r="AR645" s="202"/>
    </row>
    <row r="646" s="422" customFormat="1" customHeight="1" spans="1:44">
      <c r="A646" s="106" t="s">
        <v>2326</v>
      </c>
      <c r="B646" s="107" t="s">
        <v>2327</v>
      </c>
      <c r="C646" s="406" t="s">
        <v>2328</v>
      </c>
      <c r="D646" s="193" t="str">
        <f t="shared" si="219"/>
        <v>李瑞丽412701197209152035</v>
      </c>
      <c r="E646" s="155">
        <v>18939489282</v>
      </c>
      <c r="F646" s="115"/>
      <c r="G646" s="115">
        <v>3</v>
      </c>
      <c r="H646" s="115">
        <v>12</v>
      </c>
      <c r="I646" s="115"/>
      <c r="J646" s="115">
        <v>1234</v>
      </c>
      <c r="K646" s="115">
        <v>55.51</v>
      </c>
      <c r="L646" s="115">
        <v>20000</v>
      </c>
      <c r="M646" s="115"/>
      <c r="N646" s="115"/>
      <c r="O646" s="431">
        <v>10002</v>
      </c>
      <c r="P646" s="445">
        <v>555211</v>
      </c>
      <c r="Q646" s="464" t="s">
        <v>66</v>
      </c>
      <c r="R646" s="484">
        <v>285211</v>
      </c>
      <c r="S646" s="484"/>
      <c r="T646" s="466" t="s">
        <v>47</v>
      </c>
      <c r="U646" s="466"/>
      <c r="V646" s="405">
        <v>270000</v>
      </c>
      <c r="W646" s="466">
        <v>3608</v>
      </c>
      <c r="X646" s="466">
        <v>550</v>
      </c>
      <c r="Y646" s="466"/>
      <c r="Z646" s="83" t="s">
        <v>48</v>
      </c>
      <c r="AA646" s="294"/>
      <c r="AB646" s="83"/>
      <c r="AC646" s="83"/>
      <c r="AD646" s="83"/>
      <c r="AE646" s="181"/>
      <c r="AF646" s="181"/>
      <c r="AG646" s="247">
        <v>43274</v>
      </c>
      <c r="AH646" s="407">
        <f t="shared" si="218"/>
        <v>289369</v>
      </c>
      <c r="AI646" s="132">
        <f t="shared" si="220"/>
        <v>559369</v>
      </c>
      <c r="AJ646" s="132">
        <f t="shared" si="221"/>
        <v>559369</v>
      </c>
      <c r="AK646" s="132">
        <f t="shared" si="222"/>
        <v>0</v>
      </c>
      <c r="AL646" s="176"/>
      <c r="AM646" s="115" t="s">
        <v>974</v>
      </c>
      <c r="AN646" s="246">
        <v>44886</v>
      </c>
      <c r="AO646" s="259"/>
      <c r="AP646" s="202"/>
      <c r="AQ646" s="202"/>
      <c r="AR646" s="202"/>
    </row>
    <row r="647" s="422" customFormat="1" customHeight="1" spans="1:44">
      <c r="A647" s="106" t="s">
        <v>2329</v>
      </c>
      <c r="B647" s="155" t="s">
        <v>2330</v>
      </c>
      <c r="C647" s="406" t="s">
        <v>2331</v>
      </c>
      <c r="D647" s="193" t="str">
        <f t="shared" si="219"/>
        <v>张一一410324198509191728</v>
      </c>
      <c r="E647" s="448">
        <v>18336305811</v>
      </c>
      <c r="F647" s="156"/>
      <c r="G647" s="239">
        <v>6</v>
      </c>
      <c r="H647" s="115">
        <v>2</v>
      </c>
      <c r="I647" s="115">
        <v>10</v>
      </c>
      <c r="J647" s="115">
        <v>1001</v>
      </c>
      <c r="K647" s="115">
        <v>109.13</v>
      </c>
      <c r="L647" s="115">
        <v>19930</v>
      </c>
      <c r="M647" s="115"/>
      <c r="N647" s="115"/>
      <c r="O647" s="431">
        <v>15800</v>
      </c>
      <c r="P647" s="445">
        <v>1724254</v>
      </c>
      <c r="Q647" s="464" t="s">
        <v>66</v>
      </c>
      <c r="R647" s="83">
        <v>524254</v>
      </c>
      <c r="S647" s="83"/>
      <c r="T647" s="464">
        <v>1200000</v>
      </c>
      <c r="U647" s="83"/>
      <c r="V647" s="83"/>
      <c r="W647" s="83">
        <v>7093</v>
      </c>
      <c r="X647" s="83">
        <v>80</v>
      </c>
      <c r="Y647" s="83"/>
      <c r="Z647" s="83"/>
      <c r="AA647" s="294"/>
      <c r="AB647" s="83"/>
      <c r="AC647" s="83"/>
      <c r="AD647" s="83"/>
      <c r="AE647" s="181"/>
      <c r="AF647" s="181"/>
      <c r="AG647" s="247">
        <v>43733</v>
      </c>
      <c r="AH647" s="407">
        <f t="shared" si="218"/>
        <v>531427</v>
      </c>
      <c r="AI647" s="132">
        <f t="shared" si="220"/>
        <v>531427</v>
      </c>
      <c r="AJ647" s="132">
        <f t="shared" si="221"/>
        <v>531427</v>
      </c>
      <c r="AK647" s="132">
        <f t="shared" si="222"/>
        <v>0</v>
      </c>
      <c r="AL647" s="176"/>
      <c r="AM647" s="115" t="s">
        <v>974</v>
      </c>
      <c r="AN647" s="246">
        <v>44886</v>
      </c>
      <c r="AO647" s="259"/>
      <c r="AP647" s="202"/>
      <c r="AQ647" s="202"/>
      <c r="AR647" s="202"/>
    </row>
    <row r="648" s="422" customFormat="1" customHeight="1" spans="1:44">
      <c r="A648" s="106" t="s">
        <v>2332</v>
      </c>
      <c r="B648" s="107" t="s">
        <v>2333</v>
      </c>
      <c r="C648" s="478" t="s">
        <v>2334</v>
      </c>
      <c r="D648" s="193" t="str">
        <f t="shared" si="219"/>
        <v>孙燕440105195607303326</v>
      </c>
      <c r="E648" s="444" t="s">
        <v>2335</v>
      </c>
      <c r="F648" s="167"/>
      <c r="G648" s="106">
        <v>3</v>
      </c>
      <c r="H648" s="106">
        <v>12</v>
      </c>
      <c r="I648" s="106"/>
      <c r="J648" s="106">
        <v>1221</v>
      </c>
      <c r="K648" s="106">
        <v>71.53</v>
      </c>
      <c r="L648" s="106">
        <v>20000</v>
      </c>
      <c r="M648" s="106"/>
      <c r="N648" s="106"/>
      <c r="O648" s="455">
        <v>8584.50097303308</v>
      </c>
      <c r="P648" s="445">
        <v>614049</v>
      </c>
      <c r="Q648" s="486" t="s">
        <v>56</v>
      </c>
      <c r="R648" s="516">
        <v>614049</v>
      </c>
      <c r="S648" s="516"/>
      <c r="T648" s="466" t="s">
        <v>47</v>
      </c>
      <c r="U648" s="517"/>
      <c r="V648" s="517"/>
      <c r="W648" s="517">
        <v>4649</v>
      </c>
      <c r="X648" s="517">
        <v>550</v>
      </c>
      <c r="Y648" s="517"/>
      <c r="Z648" s="83" t="s">
        <v>48</v>
      </c>
      <c r="AA648" s="294"/>
      <c r="AB648" s="83"/>
      <c r="AC648" s="83"/>
      <c r="AD648" s="83"/>
      <c r="AE648" s="181"/>
      <c r="AF648" s="181"/>
      <c r="AG648" s="247">
        <v>42822</v>
      </c>
      <c r="AH648" s="407"/>
      <c r="AI648" s="132">
        <f t="shared" si="220"/>
        <v>619248</v>
      </c>
      <c r="AJ648" s="132">
        <f t="shared" si="221"/>
        <v>619248</v>
      </c>
      <c r="AK648" s="132">
        <f t="shared" si="222"/>
        <v>0</v>
      </c>
      <c r="AL648" s="176"/>
      <c r="AM648" s="115" t="s">
        <v>974</v>
      </c>
      <c r="AN648" s="246">
        <v>44886</v>
      </c>
      <c r="AO648" s="259"/>
      <c r="AP648" s="202"/>
      <c r="AQ648" s="202"/>
      <c r="AR648" s="202"/>
    </row>
    <row r="649" s="422" customFormat="1" customHeight="1" spans="1:44">
      <c r="A649" s="106" t="s">
        <v>2336</v>
      </c>
      <c r="B649" s="107" t="s">
        <v>2337</v>
      </c>
      <c r="C649" s="406" t="s">
        <v>2338</v>
      </c>
      <c r="D649" s="193" t="str">
        <f t="shared" si="219"/>
        <v>王梓涵410105199201210093</v>
      </c>
      <c r="E649" s="166" t="s">
        <v>2339</v>
      </c>
      <c r="F649" s="156"/>
      <c r="G649" s="115">
        <v>3</v>
      </c>
      <c r="H649" s="115">
        <v>21</v>
      </c>
      <c r="I649" s="115"/>
      <c r="J649" s="115">
        <v>2107</v>
      </c>
      <c r="K649" s="115">
        <v>61.94</v>
      </c>
      <c r="L649" s="115">
        <v>30000</v>
      </c>
      <c r="M649" s="115"/>
      <c r="N649" s="115"/>
      <c r="O649" s="431">
        <v>14616.9</v>
      </c>
      <c r="P649" s="445">
        <v>905371</v>
      </c>
      <c r="Q649" s="464" t="s">
        <v>56</v>
      </c>
      <c r="R649" s="465">
        <v>905371</v>
      </c>
      <c r="S649" s="465"/>
      <c r="T649" s="466" t="s">
        <v>47</v>
      </c>
      <c r="U649" s="466"/>
      <c r="V649" s="466"/>
      <c r="W649" s="466">
        <v>4026</v>
      </c>
      <c r="X649" s="466">
        <v>550</v>
      </c>
      <c r="Y649" s="466"/>
      <c r="Z649" s="83" t="s">
        <v>48</v>
      </c>
      <c r="AA649" s="294"/>
      <c r="AB649" s="83"/>
      <c r="AC649" s="83"/>
      <c r="AD649" s="83"/>
      <c r="AE649" s="181"/>
      <c r="AF649" s="181"/>
      <c r="AG649" s="247">
        <v>43169</v>
      </c>
      <c r="AH649" s="407">
        <f>X649+W649+R649</f>
        <v>909947</v>
      </c>
      <c r="AI649" s="132">
        <f t="shared" si="220"/>
        <v>909947</v>
      </c>
      <c r="AJ649" s="132">
        <f t="shared" si="221"/>
        <v>909947</v>
      </c>
      <c r="AK649" s="132">
        <f t="shared" si="222"/>
        <v>0</v>
      </c>
      <c r="AL649" s="176"/>
      <c r="AM649" s="115" t="s">
        <v>974</v>
      </c>
      <c r="AN649" s="246">
        <v>44886</v>
      </c>
      <c r="AO649" s="259"/>
      <c r="AP649" s="202"/>
      <c r="AQ649" s="202"/>
      <c r="AR649" s="202"/>
    </row>
    <row r="650" s="422" customFormat="1" customHeight="1" spans="1:44">
      <c r="A650" s="106" t="s">
        <v>2340</v>
      </c>
      <c r="B650" s="115" t="s">
        <v>2341</v>
      </c>
      <c r="C650" s="403" t="s">
        <v>2342</v>
      </c>
      <c r="D650" s="193" t="str">
        <f t="shared" si="219"/>
        <v>杨海涛410203197704130013</v>
      </c>
      <c r="E650" s="155" t="s">
        <v>2343</v>
      </c>
      <c r="F650" s="115"/>
      <c r="G650" s="239">
        <v>9</v>
      </c>
      <c r="H650" s="115">
        <v>3</v>
      </c>
      <c r="I650" s="115">
        <v>12</v>
      </c>
      <c r="J650" s="115">
        <v>1203</v>
      </c>
      <c r="K650" s="115">
        <v>99.56</v>
      </c>
      <c r="L650" s="115">
        <v>8662</v>
      </c>
      <c r="M650" s="115"/>
      <c r="N650" s="115"/>
      <c r="O650" s="431">
        <v>8561.6</v>
      </c>
      <c r="P650" s="239">
        <v>852393</v>
      </c>
      <c r="Q650" s="464" t="s">
        <v>66</v>
      </c>
      <c r="R650" s="464">
        <v>270000</v>
      </c>
      <c r="S650" s="464"/>
      <c r="T650" s="464">
        <v>582393.04931665</v>
      </c>
      <c r="U650" s="501"/>
      <c r="V650" s="83"/>
      <c r="W650" s="83"/>
      <c r="X650" s="83"/>
      <c r="Y650" s="83"/>
      <c r="Z650" s="83"/>
      <c r="AA650" s="294"/>
      <c r="AB650" s="83"/>
      <c r="AC650" s="83"/>
      <c r="AD650" s="83"/>
      <c r="AE650" s="181"/>
      <c r="AF650" s="181"/>
      <c r="AG650" s="247">
        <v>41623</v>
      </c>
      <c r="AH650" s="407">
        <f>X650+W650+R650</f>
        <v>270000</v>
      </c>
      <c r="AI650" s="132">
        <f t="shared" si="220"/>
        <v>270000</v>
      </c>
      <c r="AJ650" s="132">
        <f t="shared" si="221"/>
        <v>270000</v>
      </c>
      <c r="AK650" s="132">
        <f t="shared" si="222"/>
        <v>0</v>
      </c>
      <c r="AL650" s="176"/>
      <c r="AM650" s="115" t="s">
        <v>974</v>
      </c>
      <c r="AN650" s="246">
        <v>44886</v>
      </c>
      <c r="AO650" s="259"/>
      <c r="AP650" s="202"/>
      <c r="AQ650" s="202"/>
      <c r="AR650" s="202"/>
    </row>
    <row r="651" s="422" customFormat="1" customHeight="1" spans="1:44">
      <c r="A651" s="106" t="s">
        <v>2344</v>
      </c>
      <c r="B651" s="404" t="s">
        <v>2345</v>
      </c>
      <c r="C651" s="406" t="s">
        <v>2346</v>
      </c>
      <c r="D651" s="193" t="str">
        <f t="shared" si="219"/>
        <v>李杰412901197607224015</v>
      </c>
      <c r="E651" s="155">
        <v>18637100906</v>
      </c>
      <c r="F651" s="115"/>
      <c r="G651" s="115">
        <v>2</v>
      </c>
      <c r="H651" s="115">
        <v>15</v>
      </c>
      <c r="I651" s="115"/>
      <c r="J651" s="115">
        <v>1506</v>
      </c>
      <c r="K651" s="115">
        <v>49.37</v>
      </c>
      <c r="L651" s="239">
        <v>30000</v>
      </c>
      <c r="M651" s="239"/>
      <c r="N651" s="239"/>
      <c r="O651" s="431">
        <v>14766.05</v>
      </c>
      <c r="P651" s="239">
        <v>729000</v>
      </c>
      <c r="Q651" s="464" t="s">
        <v>66</v>
      </c>
      <c r="R651" s="83">
        <v>399000</v>
      </c>
      <c r="S651" s="83"/>
      <c r="T651" s="464">
        <v>330000</v>
      </c>
      <c r="U651" s="254"/>
      <c r="V651" s="83"/>
      <c r="W651" s="83">
        <v>3209</v>
      </c>
      <c r="X651" s="83">
        <v>550</v>
      </c>
      <c r="Y651" s="83"/>
      <c r="Z651" s="83"/>
      <c r="AA651" s="294"/>
      <c r="AB651" s="83">
        <f>1000+220+34</f>
        <v>1254</v>
      </c>
      <c r="AC651" s="83"/>
      <c r="AD651" s="83"/>
      <c r="AE651" s="181"/>
      <c r="AF651" s="181"/>
      <c r="AG651" s="247">
        <v>43294</v>
      </c>
      <c r="AH651" s="407"/>
      <c r="AI651" s="132">
        <f t="shared" si="220"/>
        <v>404013</v>
      </c>
      <c r="AJ651" s="132">
        <f t="shared" si="221"/>
        <v>402759</v>
      </c>
      <c r="AK651" s="132">
        <f t="shared" si="222"/>
        <v>1254</v>
      </c>
      <c r="AL651" s="176"/>
      <c r="AM651" s="115" t="s">
        <v>974</v>
      </c>
      <c r="AN651" s="246">
        <v>44886</v>
      </c>
      <c r="AO651" s="259"/>
      <c r="AP651" s="202"/>
      <c r="AQ651" s="202"/>
      <c r="AR651" s="202"/>
    </row>
    <row r="652" s="422" customFormat="1" customHeight="1" spans="1:44">
      <c r="A652" s="106" t="s">
        <v>2347</v>
      </c>
      <c r="B652" s="339" t="s">
        <v>2348</v>
      </c>
      <c r="C652" s="460" t="s">
        <v>2349</v>
      </c>
      <c r="D652" s="193" t="str">
        <f t="shared" si="219"/>
        <v>邵琼卢志鹏41272119880214006x、412721198808280338</v>
      </c>
      <c r="E652" s="444" t="s">
        <v>2350</v>
      </c>
      <c r="F652" s="119"/>
      <c r="G652" s="106">
        <v>11</v>
      </c>
      <c r="H652" s="106">
        <v>3</v>
      </c>
      <c r="I652" s="106">
        <v>29</v>
      </c>
      <c r="J652" s="106">
        <v>2902</v>
      </c>
      <c r="K652" s="106">
        <v>95.81</v>
      </c>
      <c r="L652" s="106">
        <v>19940</v>
      </c>
      <c r="M652" s="106"/>
      <c r="N652" s="106"/>
      <c r="O652" s="447">
        <v>13800</v>
      </c>
      <c r="P652" s="106">
        <v>1322178</v>
      </c>
      <c r="Q652" s="339" t="s">
        <v>46</v>
      </c>
      <c r="R652" s="487">
        <v>922178</v>
      </c>
      <c r="S652" s="487"/>
      <c r="T652" s="487" t="s">
        <v>47</v>
      </c>
      <c r="U652" s="488"/>
      <c r="V652" s="487">
        <v>400000</v>
      </c>
      <c r="W652" s="339">
        <v>6227</v>
      </c>
      <c r="X652" s="339">
        <v>90</v>
      </c>
      <c r="Y652" s="339"/>
      <c r="Z652" s="490" t="s">
        <v>48</v>
      </c>
      <c r="AA652" s="492"/>
      <c r="AB652" s="490"/>
      <c r="AC652" s="490"/>
      <c r="AD652" s="490"/>
      <c r="AE652" s="181"/>
      <c r="AF652" s="181"/>
      <c r="AG652" s="247" t="s">
        <v>2351</v>
      </c>
      <c r="AH652" s="407"/>
      <c r="AI652" s="132">
        <f t="shared" si="220"/>
        <v>1328495</v>
      </c>
      <c r="AJ652" s="132">
        <f t="shared" si="221"/>
        <v>1328495</v>
      </c>
      <c r="AK652" s="132">
        <f t="shared" si="222"/>
        <v>0</v>
      </c>
      <c r="AL652" s="176"/>
      <c r="AM652" s="115" t="s">
        <v>974</v>
      </c>
      <c r="AN652" s="246">
        <v>44886</v>
      </c>
      <c r="AO652" s="259"/>
      <c r="AP652" s="202"/>
      <c r="AQ652" s="202"/>
      <c r="AR652" s="202"/>
    </row>
    <row r="653" s="422" customFormat="1" customHeight="1" spans="1:44">
      <c r="A653" s="106" t="s">
        <v>2352</v>
      </c>
      <c r="B653" s="107" t="s">
        <v>2353</v>
      </c>
      <c r="C653" s="406" t="s">
        <v>2354</v>
      </c>
      <c r="D653" s="193" t="str">
        <f t="shared" si="219"/>
        <v>王银记、王聪410122197105298010</v>
      </c>
      <c r="E653" s="155" t="s">
        <v>2355</v>
      </c>
      <c r="F653" s="115"/>
      <c r="G653" s="115">
        <v>3</v>
      </c>
      <c r="H653" s="115">
        <v>9</v>
      </c>
      <c r="I653" s="115"/>
      <c r="J653" s="115">
        <v>926</v>
      </c>
      <c r="K653" s="115">
        <v>56.59</v>
      </c>
      <c r="L653" s="115">
        <v>20000</v>
      </c>
      <c r="M653" s="115"/>
      <c r="N653" s="115"/>
      <c r="O653" s="431">
        <v>9173.01</v>
      </c>
      <c r="P653" s="445">
        <v>519101</v>
      </c>
      <c r="Q653" s="464" t="s">
        <v>66</v>
      </c>
      <c r="R653" s="484">
        <v>269101</v>
      </c>
      <c r="S653" s="484"/>
      <c r="T653" s="466">
        <v>250000</v>
      </c>
      <c r="U653" s="466"/>
      <c r="V653" s="405"/>
      <c r="W653" s="466">
        <v>3678</v>
      </c>
      <c r="X653" s="466">
        <v>560</v>
      </c>
      <c r="Y653" s="466"/>
      <c r="Z653" s="83" t="s">
        <v>48</v>
      </c>
      <c r="AA653" s="294"/>
      <c r="AB653" s="83">
        <v>1246</v>
      </c>
      <c r="AC653" s="83"/>
      <c r="AD653" s="83"/>
      <c r="AE653" s="181"/>
      <c r="AF653" s="181"/>
      <c r="AG653" s="247">
        <v>42580</v>
      </c>
      <c r="AH653" s="407"/>
      <c r="AI653" s="132">
        <f t="shared" ref="AI653:AI675" si="223">R653+V653+W653+X653+AA653+AB653+AC653+AD653</f>
        <v>274585</v>
      </c>
      <c r="AJ653" s="132">
        <f t="shared" ref="AJ653:AJ675" si="224">R653+W653+V653+X653+AA653</f>
        <v>273339</v>
      </c>
      <c r="AK653" s="132">
        <f t="shared" ref="AK653:AK675" si="225">AI653-AJ653</f>
        <v>1246</v>
      </c>
      <c r="AL653" s="176"/>
      <c r="AM653" s="115" t="s">
        <v>974</v>
      </c>
      <c r="AN653" s="246">
        <v>44886</v>
      </c>
      <c r="AO653" s="259"/>
      <c r="AP653" s="202"/>
      <c r="AQ653" s="202"/>
      <c r="AR653" s="202"/>
    </row>
    <row r="654" s="422" customFormat="1" customHeight="1" spans="1:44">
      <c r="A654" s="106" t="s">
        <v>2356</v>
      </c>
      <c r="B654" s="404" t="s">
        <v>2357</v>
      </c>
      <c r="C654" s="406" t="s">
        <v>2358</v>
      </c>
      <c r="D654" s="193" t="str">
        <f t="shared" si="219"/>
        <v>李壹李力轩412821198803100049</v>
      </c>
      <c r="E654" s="166" t="s">
        <v>2359</v>
      </c>
      <c r="F654" s="156"/>
      <c r="G654" s="115">
        <v>2</v>
      </c>
      <c r="H654" s="115">
        <v>24</v>
      </c>
      <c r="I654" s="115"/>
      <c r="J654" s="115">
        <v>2404</v>
      </c>
      <c r="K654" s="115">
        <v>47.97</v>
      </c>
      <c r="L654" s="239">
        <v>30000</v>
      </c>
      <c r="M654" s="239"/>
      <c r="N654" s="239"/>
      <c r="O654" s="431">
        <v>15403.59</v>
      </c>
      <c r="P654" s="239">
        <v>738910</v>
      </c>
      <c r="Q654" s="464" t="s">
        <v>66</v>
      </c>
      <c r="R654" s="83">
        <v>378910</v>
      </c>
      <c r="S654" s="83"/>
      <c r="T654" s="464">
        <v>0</v>
      </c>
      <c r="U654" s="83"/>
      <c r="V654" s="464">
        <v>360000</v>
      </c>
      <c r="W654" s="83">
        <v>3118</v>
      </c>
      <c r="X654" s="445">
        <v>560</v>
      </c>
      <c r="Y654" s="445"/>
      <c r="Z654" s="83" t="s">
        <v>48</v>
      </c>
      <c r="AA654" s="294"/>
      <c r="AB654" s="83"/>
      <c r="AC654" s="83"/>
      <c r="AD654" s="83"/>
      <c r="AE654" s="181"/>
      <c r="AF654" s="181"/>
      <c r="AG654" s="247">
        <v>43806</v>
      </c>
      <c r="AH654" s="407">
        <f>X654+W654+R654</f>
        <v>382588</v>
      </c>
      <c r="AI654" s="132">
        <f t="shared" si="223"/>
        <v>742588</v>
      </c>
      <c r="AJ654" s="132">
        <f t="shared" si="224"/>
        <v>742588</v>
      </c>
      <c r="AK654" s="132">
        <f t="shared" si="225"/>
        <v>0</v>
      </c>
      <c r="AL654" s="176"/>
      <c r="AM654" s="115" t="s">
        <v>974</v>
      </c>
      <c r="AN654" s="246">
        <v>44886</v>
      </c>
      <c r="AO654" s="259"/>
      <c r="AP654" s="202"/>
      <c r="AQ654" s="202"/>
      <c r="AR654" s="202"/>
    </row>
    <row r="655" s="422" customFormat="1" customHeight="1" spans="1:44">
      <c r="A655" s="106" t="s">
        <v>2360</v>
      </c>
      <c r="B655" s="339" t="s">
        <v>2361</v>
      </c>
      <c r="C655" s="460" t="s">
        <v>2362</v>
      </c>
      <c r="D655" s="193" t="str">
        <f t="shared" si="219"/>
        <v>刘学忠412821195210300017</v>
      </c>
      <c r="E655" s="107" t="s">
        <v>2363</v>
      </c>
      <c r="F655" s="194"/>
      <c r="G655" s="106">
        <v>11</v>
      </c>
      <c r="H655" s="106">
        <v>3</v>
      </c>
      <c r="I655" s="106">
        <v>20</v>
      </c>
      <c r="J655" s="106">
        <v>2003</v>
      </c>
      <c r="K655" s="106">
        <v>151.44</v>
      </c>
      <c r="L655" s="106">
        <v>17900</v>
      </c>
      <c r="M655" s="106"/>
      <c r="N655" s="106"/>
      <c r="O655" s="447">
        <v>13800</v>
      </c>
      <c r="P655" s="106">
        <v>2089872</v>
      </c>
      <c r="Q655" s="339" t="s">
        <v>56</v>
      </c>
      <c r="R655" s="487">
        <v>2096923</v>
      </c>
      <c r="S655" s="339">
        <v>-7051</v>
      </c>
      <c r="T655" s="339" t="s">
        <v>47</v>
      </c>
      <c r="U655" s="488"/>
      <c r="V655" s="339"/>
      <c r="W655" s="339">
        <v>9843</v>
      </c>
      <c r="X655" s="339">
        <v>80</v>
      </c>
      <c r="Y655" s="339"/>
      <c r="Z655" s="490" t="s">
        <v>48</v>
      </c>
      <c r="AA655" s="492"/>
      <c r="AB655" s="490"/>
      <c r="AC655" s="490"/>
      <c r="AD655" s="490"/>
      <c r="AE655" s="181"/>
      <c r="AF655" s="181"/>
      <c r="AG655" s="247">
        <v>43958</v>
      </c>
      <c r="AH655" s="407"/>
      <c r="AI655" s="132">
        <f t="shared" si="223"/>
        <v>2106846</v>
      </c>
      <c r="AJ655" s="132">
        <f t="shared" si="224"/>
        <v>2106846</v>
      </c>
      <c r="AK655" s="132">
        <f t="shared" si="225"/>
        <v>0</v>
      </c>
      <c r="AL655" s="176"/>
      <c r="AM655" s="115" t="s">
        <v>974</v>
      </c>
      <c r="AN655" s="246">
        <v>44886</v>
      </c>
      <c r="AO655" s="259"/>
      <c r="AP655" s="202"/>
      <c r="AQ655" s="202"/>
      <c r="AR655" s="202"/>
    </row>
    <row r="656" s="422" customFormat="1" customHeight="1" spans="1:44">
      <c r="A656" s="106" t="s">
        <v>2364</v>
      </c>
      <c r="B656" s="115" t="s">
        <v>2365</v>
      </c>
      <c r="C656" s="83" t="s">
        <v>2366</v>
      </c>
      <c r="D656" s="193" t="str">
        <f t="shared" si="219"/>
        <v>张豪412821199508010037</v>
      </c>
      <c r="E656" s="155">
        <v>15515975238</v>
      </c>
      <c r="F656" s="115"/>
      <c r="G656" s="115">
        <v>10</v>
      </c>
      <c r="H656" s="115">
        <v>2</v>
      </c>
      <c r="I656" s="115">
        <v>3</v>
      </c>
      <c r="J656" s="115">
        <v>306</v>
      </c>
      <c r="K656" s="115">
        <v>98.92</v>
      </c>
      <c r="L656" s="115">
        <v>17900</v>
      </c>
      <c r="M656" s="115"/>
      <c r="N656" s="115"/>
      <c r="O656" s="431">
        <v>13800</v>
      </c>
      <c r="P656" s="239">
        <v>1365096</v>
      </c>
      <c r="Q656" s="464" t="s">
        <v>56</v>
      </c>
      <c r="R656" s="83">
        <v>1427311</v>
      </c>
      <c r="S656" s="83">
        <v>-62215</v>
      </c>
      <c r="T656" s="464" t="s">
        <v>47</v>
      </c>
      <c r="U656" s="401"/>
      <c r="V656" s="83"/>
      <c r="W656" s="83">
        <v>6429</v>
      </c>
      <c r="X656" s="83">
        <v>80</v>
      </c>
      <c r="Y656" s="83"/>
      <c r="Z656" s="83" t="s">
        <v>48</v>
      </c>
      <c r="AA656" s="294"/>
      <c r="AB656" s="83"/>
      <c r="AC656" s="83"/>
      <c r="AD656" s="83"/>
      <c r="AE656" s="181"/>
      <c r="AF656" s="181"/>
      <c r="AG656" s="247">
        <v>43958</v>
      </c>
      <c r="AH656" s="407"/>
      <c r="AI656" s="132">
        <f t="shared" si="223"/>
        <v>1433820</v>
      </c>
      <c r="AJ656" s="132">
        <f t="shared" si="224"/>
        <v>1433820</v>
      </c>
      <c r="AK656" s="132">
        <f t="shared" si="225"/>
        <v>0</v>
      </c>
      <c r="AL656" s="176"/>
      <c r="AM656" s="115" t="s">
        <v>974</v>
      </c>
      <c r="AN656" s="246">
        <v>44886</v>
      </c>
      <c r="AO656" s="259"/>
      <c r="AP656" s="202"/>
      <c r="AQ656" s="202"/>
      <c r="AR656" s="202"/>
    </row>
    <row r="657" s="422" customFormat="1" customHeight="1" spans="1:44">
      <c r="A657" s="106" t="s">
        <v>2367</v>
      </c>
      <c r="B657" s="115" t="s">
        <v>2368</v>
      </c>
      <c r="C657" s="83"/>
      <c r="D657" s="193" t="str">
        <f t="shared" si="219"/>
        <v>赵春华/李叙颖/李华</v>
      </c>
      <c r="E657" s="155">
        <v>13949015199</v>
      </c>
      <c r="F657" s="115"/>
      <c r="G657" s="115">
        <v>10</v>
      </c>
      <c r="H657" s="115">
        <v>2</v>
      </c>
      <c r="I657" s="115">
        <v>26</v>
      </c>
      <c r="J657" s="115">
        <v>2605</v>
      </c>
      <c r="K657" s="115">
        <v>93.84</v>
      </c>
      <c r="L657" s="115">
        <v>12100</v>
      </c>
      <c r="M657" s="115"/>
      <c r="N657" s="115"/>
      <c r="O657" s="431">
        <v>12000</v>
      </c>
      <c r="P657" s="239">
        <v>1126080</v>
      </c>
      <c r="Q657" s="464" t="s">
        <v>66</v>
      </c>
      <c r="R657" s="83">
        <v>1000000</v>
      </c>
      <c r="S657" s="83"/>
      <c r="T657" s="464">
        <v>126080</v>
      </c>
      <c r="U657" s="401"/>
      <c r="V657" s="83"/>
      <c r="W657" s="83"/>
      <c r="X657" s="83"/>
      <c r="Y657" s="83"/>
      <c r="Z657" s="83"/>
      <c r="AA657" s="294"/>
      <c r="AB657" s="83"/>
      <c r="AC657" s="83"/>
      <c r="AD657" s="83"/>
      <c r="AE657" s="181"/>
      <c r="AF657" s="181"/>
      <c r="AG657" s="247">
        <v>42660</v>
      </c>
      <c r="AH657" s="407"/>
      <c r="AI657" s="132">
        <f t="shared" si="223"/>
        <v>1000000</v>
      </c>
      <c r="AJ657" s="132">
        <f t="shared" si="224"/>
        <v>1000000</v>
      </c>
      <c r="AK657" s="132">
        <f t="shared" si="225"/>
        <v>0</v>
      </c>
      <c r="AL657" s="176"/>
      <c r="AM657" s="115" t="s">
        <v>974</v>
      </c>
      <c r="AN657" s="246">
        <v>44886</v>
      </c>
      <c r="AO657" s="259"/>
      <c r="AP657" s="202"/>
      <c r="AQ657" s="202"/>
      <c r="AR657" s="202"/>
    </row>
    <row r="658" s="422" customFormat="1" customHeight="1" spans="1:44">
      <c r="A658" s="106" t="s">
        <v>2369</v>
      </c>
      <c r="B658" s="115" t="s">
        <v>2370</v>
      </c>
      <c r="C658" s="83" t="s">
        <v>2371</v>
      </c>
      <c r="D658" s="193" t="str">
        <f t="shared" si="219"/>
        <v>赵春华/马琳/马悦412729197602247467</v>
      </c>
      <c r="E658" s="155">
        <v>13949015199</v>
      </c>
      <c r="F658" s="115"/>
      <c r="G658" s="115">
        <v>10</v>
      </c>
      <c r="H658" s="115">
        <v>2</v>
      </c>
      <c r="I658" s="115">
        <v>25</v>
      </c>
      <c r="J658" s="115">
        <v>2505</v>
      </c>
      <c r="K658" s="115">
        <v>93.84</v>
      </c>
      <c r="L658" s="115">
        <v>12100</v>
      </c>
      <c r="M658" s="115"/>
      <c r="N658" s="115"/>
      <c r="O658" s="431">
        <v>12000</v>
      </c>
      <c r="P658" s="239">
        <v>1126080</v>
      </c>
      <c r="Q658" s="464" t="s">
        <v>66</v>
      </c>
      <c r="R658" s="83">
        <v>1000000</v>
      </c>
      <c r="S658" s="83"/>
      <c r="T658" s="464">
        <v>126080</v>
      </c>
      <c r="U658" s="401"/>
      <c r="V658" s="83"/>
      <c r="W658" s="83"/>
      <c r="X658" s="83"/>
      <c r="Y658" s="83"/>
      <c r="Z658" s="83"/>
      <c r="AA658" s="294"/>
      <c r="AB658" s="83"/>
      <c r="AC658" s="83"/>
      <c r="AD658" s="83"/>
      <c r="AE658" s="181"/>
      <c r="AF658" s="181"/>
      <c r="AG658" s="247">
        <v>42660</v>
      </c>
      <c r="AH658" s="407"/>
      <c r="AI658" s="132">
        <f t="shared" si="223"/>
        <v>1000000</v>
      </c>
      <c r="AJ658" s="132">
        <f t="shared" si="224"/>
        <v>1000000</v>
      </c>
      <c r="AK658" s="132">
        <f t="shared" si="225"/>
        <v>0</v>
      </c>
      <c r="AL658" s="176"/>
      <c r="AM658" s="115" t="s">
        <v>974</v>
      </c>
      <c r="AN658" s="246">
        <v>44886</v>
      </c>
      <c r="AO658" s="259"/>
      <c r="AP658" s="202"/>
      <c r="AQ658" s="202"/>
      <c r="AR658" s="202"/>
    </row>
    <row r="659" s="422" customFormat="1" customHeight="1" spans="1:44">
      <c r="A659" s="106" t="s">
        <v>2372</v>
      </c>
      <c r="B659" s="155" t="s">
        <v>2373</v>
      </c>
      <c r="C659" s="166" t="s">
        <v>2374</v>
      </c>
      <c r="D659" s="193" t="str">
        <f t="shared" si="219"/>
        <v>张逸人410105196305132000</v>
      </c>
      <c r="E659" s="155">
        <v>13838278853</v>
      </c>
      <c r="F659" s="115" t="s">
        <v>2375</v>
      </c>
      <c r="G659" s="239">
        <v>6</v>
      </c>
      <c r="H659" s="115">
        <v>2</v>
      </c>
      <c r="I659" s="115">
        <v>9</v>
      </c>
      <c r="J659" s="115">
        <v>901</v>
      </c>
      <c r="K659" s="115">
        <v>109.13</v>
      </c>
      <c r="L659" s="115">
        <v>10843</v>
      </c>
      <c r="M659" s="115"/>
      <c r="N659" s="115"/>
      <c r="O659" s="431">
        <v>9429</v>
      </c>
      <c r="P659" s="445">
        <v>1028987</v>
      </c>
      <c r="Q659" s="445" t="s">
        <v>56</v>
      </c>
      <c r="R659" s="115">
        <v>1028987</v>
      </c>
      <c r="S659" s="115"/>
      <c r="T659" s="445">
        <v>-0.230000000097789</v>
      </c>
      <c r="U659" s="115"/>
      <c r="V659" s="115"/>
      <c r="W659" s="115">
        <v>7093</v>
      </c>
      <c r="X659" s="115">
        <v>80</v>
      </c>
      <c r="Y659" s="115"/>
      <c r="Z659" s="115"/>
      <c r="AA659" s="246"/>
      <c r="AB659" s="115"/>
      <c r="AC659" s="115"/>
      <c r="AD659" s="115"/>
      <c r="AE659" s="181"/>
      <c r="AF659" s="181"/>
      <c r="AG659" s="247">
        <v>42207</v>
      </c>
      <c r="AH659" s="407"/>
      <c r="AI659" s="132">
        <f t="shared" si="223"/>
        <v>1036160</v>
      </c>
      <c r="AJ659" s="132">
        <f t="shared" si="224"/>
        <v>1036160</v>
      </c>
      <c r="AK659" s="132">
        <f t="shared" si="225"/>
        <v>0</v>
      </c>
      <c r="AL659" s="176"/>
      <c r="AM659" s="115" t="s">
        <v>974</v>
      </c>
      <c r="AN659" s="246">
        <v>44886</v>
      </c>
      <c r="AO659" s="259"/>
      <c r="AP659" s="202"/>
      <c r="AQ659" s="202"/>
      <c r="AR659" s="202"/>
    </row>
    <row r="660" s="422" customFormat="1" customHeight="1" spans="1:44">
      <c r="A660" s="106" t="s">
        <v>2376</v>
      </c>
      <c r="B660" s="107" t="s">
        <v>2377</v>
      </c>
      <c r="C660" s="406" t="s">
        <v>2378</v>
      </c>
      <c r="D660" s="193" t="str">
        <f t="shared" si="219"/>
        <v>芦平411326198408120027</v>
      </c>
      <c r="E660" s="166" t="s">
        <v>2379</v>
      </c>
      <c r="F660" s="156"/>
      <c r="G660" s="115">
        <v>3</v>
      </c>
      <c r="H660" s="115">
        <v>17</v>
      </c>
      <c r="I660" s="115"/>
      <c r="J660" s="115">
        <v>1733</v>
      </c>
      <c r="K660" s="115">
        <v>55.05</v>
      </c>
      <c r="L660" s="115">
        <v>20000</v>
      </c>
      <c r="M660" s="115"/>
      <c r="N660" s="115"/>
      <c r="O660" s="431">
        <v>14022.47</v>
      </c>
      <c r="P660" s="445">
        <v>771937</v>
      </c>
      <c r="Q660" s="464" t="s">
        <v>56</v>
      </c>
      <c r="R660" s="465">
        <v>771937</v>
      </c>
      <c r="S660" s="465"/>
      <c r="T660" s="466" t="s">
        <v>47</v>
      </c>
      <c r="U660" s="466"/>
      <c r="V660" s="466"/>
      <c r="W660" s="466">
        <v>3578</v>
      </c>
      <c r="X660" s="466">
        <v>550</v>
      </c>
      <c r="Y660" s="466"/>
      <c r="Z660" s="83" t="s">
        <v>48</v>
      </c>
      <c r="AA660" s="294"/>
      <c r="AB660" s="83"/>
      <c r="AC660" s="83"/>
      <c r="AD660" s="83"/>
      <c r="AE660" s="181"/>
      <c r="AF660" s="181"/>
      <c r="AG660" s="247">
        <v>42691</v>
      </c>
      <c r="AH660" s="407">
        <f>X660+W660+R660</f>
        <v>776065</v>
      </c>
      <c r="AI660" s="132">
        <f t="shared" si="223"/>
        <v>776065</v>
      </c>
      <c r="AJ660" s="132">
        <f t="shared" si="224"/>
        <v>776065</v>
      </c>
      <c r="AK660" s="132">
        <f t="shared" si="225"/>
        <v>0</v>
      </c>
      <c r="AL660" s="176"/>
      <c r="AM660" s="115" t="s">
        <v>974</v>
      </c>
      <c r="AN660" s="246">
        <v>44886</v>
      </c>
      <c r="AO660" s="259"/>
      <c r="AP660" s="202"/>
      <c r="AQ660" s="202"/>
      <c r="AR660" s="202"/>
    </row>
    <row r="661" s="422" customFormat="1" customHeight="1" spans="1:44">
      <c r="A661" s="106" t="s">
        <v>2380</v>
      </c>
      <c r="B661" s="107" t="s">
        <v>2381</v>
      </c>
      <c r="C661" s="406" t="s">
        <v>2382</v>
      </c>
      <c r="D661" s="193" t="str">
        <f t="shared" si="219"/>
        <v>刘灿410122199005118624</v>
      </c>
      <c r="E661" s="166" t="s">
        <v>2383</v>
      </c>
      <c r="F661" s="156"/>
      <c r="G661" s="115">
        <v>3</v>
      </c>
      <c r="H661" s="115">
        <v>22</v>
      </c>
      <c r="I661" s="115"/>
      <c r="J661" s="115">
        <v>2228</v>
      </c>
      <c r="K661" s="115">
        <v>64.13</v>
      </c>
      <c r="L661" s="115">
        <v>30000</v>
      </c>
      <c r="M661" s="115"/>
      <c r="N661" s="115"/>
      <c r="O661" s="431">
        <v>14657.73</v>
      </c>
      <c r="P661" s="445">
        <v>940000</v>
      </c>
      <c r="Q661" s="464" t="s">
        <v>66</v>
      </c>
      <c r="R661" s="465">
        <v>470000</v>
      </c>
      <c r="S661" s="465"/>
      <c r="T661" s="464">
        <v>470000</v>
      </c>
      <c r="U661" s="466"/>
      <c r="V661" s="466"/>
      <c r="W661" s="466">
        <v>4168</v>
      </c>
      <c r="X661" s="466">
        <v>550</v>
      </c>
      <c r="Y661" s="466"/>
      <c r="Z661" s="83"/>
      <c r="AA661" s="294"/>
      <c r="AB661" s="83">
        <v>210</v>
      </c>
      <c r="AC661" s="83"/>
      <c r="AD661" s="83"/>
      <c r="AE661" s="181"/>
      <c r="AF661" s="181"/>
      <c r="AG661" s="247">
        <v>43280</v>
      </c>
      <c r="AH661" s="407">
        <f>X661+W661+R661</f>
        <v>474718</v>
      </c>
      <c r="AI661" s="132">
        <f t="shared" si="223"/>
        <v>474928</v>
      </c>
      <c r="AJ661" s="132">
        <f t="shared" si="224"/>
        <v>474718</v>
      </c>
      <c r="AK661" s="132">
        <f t="shared" si="225"/>
        <v>210</v>
      </c>
      <c r="AL661" s="176"/>
      <c r="AM661" s="115" t="s">
        <v>974</v>
      </c>
      <c r="AN661" s="246">
        <v>44886</v>
      </c>
      <c r="AO661" s="259"/>
      <c r="AP661" s="202"/>
      <c r="AQ661" s="202"/>
      <c r="AR661" s="202"/>
    </row>
    <row r="662" s="422" customFormat="1" customHeight="1" spans="1:44">
      <c r="A662" s="106" t="s">
        <v>2384</v>
      </c>
      <c r="B662" s="339" t="s">
        <v>2385</v>
      </c>
      <c r="C662" s="460" t="s">
        <v>2386</v>
      </c>
      <c r="D662" s="193" t="str">
        <f t="shared" si="219"/>
        <v>赵志强410621198206051039</v>
      </c>
      <c r="E662" s="107" t="s">
        <v>2387</v>
      </c>
      <c r="F662" s="194"/>
      <c r="G662" s="106">
        <v>11</v>
      </c>
      <c r="H662" s="106">
        <v>3</v>
      </c>
      <c r="I662" s="106">
        <v>16</v>
      </c>
      <c r="J662" s="106">
        <v>1601</v>
      </c>
      <c r="K662" s="106">
        <v>149.28</v>
      </c>
      <c r="L662" s="106">
        <v>8990</v>
      </c>
      <c r="M662" s="106"/>
      <c r="N662" s="106"/>
      <c r="O662" s="447">
        <v>8890.4</v>
      </c>
      <c r="P662" s="106">
        <v>1327159</v>
      </c>
      <c r="Q662" s="339" t="s">
        <v>46</v>
      </c>
      <c r="R662" s="487">
        <v>927159</v>
      </c>
      <c r="S662" s="339"/>
      <c r="T662" s="339" t="s">
        <v>47</v>
      </c>
      <c r="U662" s="488"/>
      <c r="V662" s="339">
        <v>400000</v>
      </c>
      <c r="W662" s="339">
        <v>9703</v>
      </c>
      <c r="X662" s="339">
        <v>80</v>
      </c>
      <c r="Y662" s="339"/>
      <c r="Z662" s="83" t="s">
        <v>48</v>
      </c>
      <c r="AA662" s="294"/>
      <c r="AB662" s="83">
        <v>1120</v>
      </c>
      <c r="AC662" s="83"/>
      <c r="AD662" s="83"/>
      <c r="AE662" s="181"/>
      <c r="AF662" s="181"/>
      <c r="AG662" s="247">
        <v>43280</v>
      </c>
      <c r="AH662" s="407">
        <f>X662+W662+R662</f>
        <v>936942</v>
      </c>
      <c r="AI662" s="132">
        <f t="shared" si="223"/>
        <v>1338062</v>
      </c>
      <c r="AJ662" s="132">
        <f t="shared" si="224"/>
        <v>1336942</v>
      </c>
      <c r="AK662" s="132">
        <f t="shared" si="225"/>
        <v>1120</v>
      </c>
      <c r="AL662" s="176"/>
      <c r="AM662" s="115" t="s">
        <v>974</v>
      </c>
      <c r="AN662" s="246">
        <v>44886</v>
      </c>
      <c r="AO662" s="259"/>
      <c r="AP662" s="202"/>
      <c r="AQ662" s="202"/>
      <c r="AR662" s="202"/>
    </row>
    <row r="663" s="422" customFormat="1" customHeight="1" spans="1:44">
      <c r="A663" s="106" t="s">
        <v>2388</v>
      </c>
      <c r="B663" s="404" t="s">
        <v>2389</v>
      </c>
      <c r="C663" s="511" t="s">
        <v>2390</v>
      </c>
      <c r="D663" s="193" t="str">
        <f t="shared" si="219"/>
        <v>任永亮413027197105010098</v>
      </c>
      <c r="E663" s="155">
        <v>13598022868</v>
      </c>
      <c r="F663" s="115"/>
      <c r="G663" s="115">
        <v>2</v>
      </c>
      <c r="H663" s="115">
        <v>10</v>
      </c>
      <c r="I663" s="115"/>
      <c r="J663" s="115">
        <v>1010</v>
      </c>
      <c r="K663" s="115">
        <v>49.74</v>
      </c>
      <c r="L663" s="239">
        <v>20000</v>
      </c>
      <c r="M663" s="239"/>
      <c r="N663" s="239"/>
      <c r="O663" s="431">
        <v>9424.99</v>
      </c>
      <c r="P663" s="239">
        <v>468799</v>
      </c>
      <c r="Q663" s="464" t="s">
        <v>56</v>
      </c>
      <c r="R663" s="83">
        <v>468799</v>
      </c>
      <c r="S663" s="83"/>
      <c r="T663" s="464">
        <v>0</v>
      </c>
      <c r="U663" s="83"/>
      <c r="V663" s="83"/>
      <c r="W663" s="83">
        <v>3233</v>
      </c>
      <c r="X663" s="83">
        <v>550</v>
      </c>
      <c r="Y663" s="83"/>
      <c r="Z663" s="115" t="s">
        <v>48</v>
      </c>
      <c r="AA663" s="246"/>
      <c r="AB663" s="115"/>
      <c r="AC663" s="115"/>
      <c r="AD663" s="115"/>
      <c r="AE663" s="181"/>
      <c r="AF663" s="181"/>
      <c r="AG663" s="247">
        <v>43069</v>
      </c>
      <c r="AH663" s="407">
        <f>X663+W663+R663</f>
        <v>472582</v>
      </c>
      <c r="AI663" s="132">
        <f t="shared" si="223"/>
        <v>472582</v>
      </c>
      <c r="AJ663" s="132">
        <f t="shared" si="224"/>
        <v>472582</v>
      </c>
      <c r="AK663" s="132">
        <f t="shared" si="225"/>
        <v>0</v>
      </c>
      <c r="AL663" s="176"/>
      <c r="AM663" s="115" t="s">
        <v>974</v>
      </c>
      <c r="AN663" s="246">
        <v>44886</v>
      </c>
      <c r="AO663" s="259"/>
      <c r="AP663" s="202"/>
      <c r="AQ663" s="202"/>
      <c r="AR663" s="202"/>
    </row>
    <row r="664" s="422" customFormat="1" customHeight="1" spans="1:44">
      <c r="A664" s="106" t="s">
        <v>2391</v>
      </c>
      <c r="B664" s="339" t="s">
        <v>2392</v>
      </c>
      <c r="C664" s="460" t="s">
        <v>2393</v>
      </c>
      <c r="D664" s="193" t="str">
        <f t="shared" si="219"/>
        <v>王姿涵410105200310120084</v>
      </c>
      <c r="E664" s="107">
        <v>13838117794</v>
      </c>
      <c r="F664" s="194"/>
      <c r="G664" s="106">
        <v>11</v>
      </c>
      <c r="H664" s="106">
        <v>3</v>
      </c>
      <c r="I664" s="106">
        <v>24</v>
      </c>
      <c r="J664" s="106">
        <v>2403</v>
      </c>
      <c r="K664" s="106">
        <v>151.44</v>
      </c>
      <c r="L664" s="106">
        <v>8900</v>
      </c>
      <c r="M664" s="106"/>
      <c r="N664" s="106"/>
      <c r="O664" s="447">
        <v>8800</v>
      </c>
      <c r="P664" s="106">
        <v>1332672</v>
      </c>
      <c r="Q664" s="339" t="s">
        <v>56</v>
      </c>
      <c r="R664" s="487">
        <v>1347192</v>
      </c>
      <c r="S664" s="487">
        <v>-14520</v>
      </c>
      <c r="T664" s="487" t="s">
        <v>47</v>
      </c>
      <c r="U664" s="488"/>
      <c r="V664" s="339"/>
      <c r="W664" s="339"/>
      <c r="X664" s="339"/>
      <c r="Y664" s="339"/>
      <c r="Z664" s="490"/>
      <c r="AA664" s="492"/>
      <c r="AB664" s="490"/>
      <c r="AC664" s="490"/>
      <c r="AD664" s="490"/>
      <c r="AE664" s="181"/>
      <c r="AF664" s="181"/>
      <c r="AG664" s="247">
        <v>42305</v>
      </c>
      <c r="AH664" s="407">
        <f>X664+W664+R664</f>
        <v>1347192</v>
      </c>
      <c r="AI664" s="132">
        <f t="shared" si="223"/>
        <v>1347192</v>
      </c>
      <c r="AJ664" s="132">
        <f t="shared" si="224"/>
        <v>1347192</v>
      </c>
      <c r="AK664" s="132">
        <f t="shared" si="225"/>
        <v>0</v>
      </c>
      <c r="AL664" s="176"/>
      <c r="AM664" s="115" t="s">
        <v>974</v>
      </c>
      <c r="AN664" s="246">
        <v>44886</v>
      </c>
      <c r="AO664" s="259"/>
      <c r="AP664" s="202"/>
      <c r="AQ664" s="202"/>
      <c r="AR664" s="202"/>
    </row>
    <row r="665" s="422" customFormat="1" customHeight="1" spans="1:41">
      <c r="A665" s="115" t="s">
        <v>2394</v>
      </c>
      <c r="B665" s="115" t="s">
        <v>2395</v>
      </c>
      <c r="C665" s="83" t="s">
        <v>2396</v>
      </c>
      <c r="D665" s="193" t="str">
        <f t="shared" si="219"/>
        <v>贺江涛410105197902111611</v>
      </c>
      <c r="E665" s="155" t="s">
        <v>2397</v>
      </c>
      <c r="F665" s="115"/>
      <c r="G665" s="115">
        <v>10</v>
      </c>
      <c r="H665" s="115">
        <v>2</v>
      </c>
      <c r="I665" s="115">
        <v>4</v>
      </c>
      <c r="J665" s="115">
        <v>406</v>
      </c>
      <c r="K665" s="115">
        <v>98.92</v>
      </c>
      <c r="L665" s="115">
        <v>9100</v>
      </c>
      <c r="M665" s="115"/>
      <c r="N665" s="115"/>
      <c r="O665" s="431">
        <v>9000</v>
      </c>
      <c r="P665" s="239">
        <v>890280</v>
      </c>
      <c r="Q665" s="464" t="s">
        <v>46</v>
      </c>
      <c r="R665" s="83">
        <v>490280</v>
      </c>
      <c r="S665" s="83"/>
      <c r="T665" s="464" t="s">
        <v>47</v>
      </c>
      <c r="U665" s="401"/>
      <c r="V665" s="464">
        <v>400000</v>
      </c>
      <c r="W665" s="83">
        <v>6429</v>
      </c>
      <c r="X665" s="83">
        <v>80</v>
      </c>
      <c r="Y665" s="83"/>
      <c r="Z665" s="83" t="s">
        <v>48</v>
      </c>
      <c r="AA665" s="294"/>
      <c r="AB665" s="83"/>
      <c r="AC665" s="83"/>
      <c r="AD665" s="83"/>
      <c r="AE665" s="83"/>
      <c r="AF665" s="467"/>
      <c r="AG665" s="294">
        <v>42210</v>
      </c>
      <c r="AH665" s="407">
        <f>R665+W665+X665</f>
        <v>496789</v>
      </c>
      <c r="AI665" s="132">
        <f t="shared" si="223"/>
        <v>896789</v>
      </c>
      <c r="AJ665" s="132">
        <f t="shared" si="224"/>
        <v>896789</v>
      </c>
      <c r="AK665" s="132">
        <f t="shared" si="225"/>
        <v>0</v>
      </c>
      <c r="AL665" s="471"/>
      <c r="AM665" s="133" t="s">
        <v>900</v>
      </c>
      <c r="AN665" s="246">
        <v>44886</v>
      </c>
      <c r="AO665" s="288"/>
    </row>
    <row r="666" s="422" customFormat="1" customHeight="1" spans="1:41">
      <c r="A666" s="115" t="s">
        <v>2398</v>
      </c>
      <c r="B666" s="107" t="s">
        <v>2399</v>
      </c>
      <c r="C666" s="406" t="s">
        <v>2400</v>
      </c>
      <c r="D666" s="193" t="str">
        <f t="shared" si="219"/>
        <v>于逸飞410105199411270078</v>
      </c>
      <c r="E666" s="155" t="s">
        <v>2401</v>
      </c>
      <c r="F666" s="115"/>
      <c r="G666" s="115">
        <v>3</v>
      </c>
      <c r="H666" s="115">
        <v>12</v>
      </c>
      <c r="I666" s="115"/>
      <c r="J666" s="115">
        <v>1222</v>
      </c>
      <c r="K666" s="115">
        <v>64.29</v>
      </c>
      <c r="L666" s="115">
        <v>20000</v>
      </c>
      <c r="M666" s="115"/>
      <c r="N666" s="115"/>
      <c r="O666" s="431">
        <v>8704.08</v>
      </c>
      <c r="P666" s="445">
        <v>559585</v>
      </c>
      <c r="Q666" s="464" t="s">
        <v>56</v>
      </c>
      <c r="R666" s="465">
        <v>559585</v>
      </c>
      <c r="S666" s="465"/>
      <c r="T666" s="466" t="s">
        <v>47</v>
      </c>
      <c r="U666" s="466"/>
      <c r="V666" s="466"/>
      <c r="W666" s="466">
        <v>4178</v>
      </c>
      <c r="X666" s="466">
        <v>550</v>
      </c>
      <c r="Y666" s="466"/>
      <c r="Z666" s="83" t="s">
        <v>48</v>
      </c>
      <c r="AA666" s="294"/>
      <c r="AB666" s="83">
        <v>3000</v>
      </c>
      <c r="AC666" s="83"/>
      <c r="AD666" s="83"/>
      <c r="AE666" s="83"/>
      <c r="AF666" s="467"/>
      <c r="AG666" s="294">
        <v>43094</v>
      </c>
      <c r="AH666" s="407">
        <f>R666+W666+X666</f>
        <v>564313</v>
      </c>
      <c r="AI666" s="132">
        <f t="shared" si="223"/>
        <v>567313</v>
      </c>
      <c r="AJ666" s="132">
        <f t="shared" si="224"/>
        <v>564313</v>
      </c>
      <c r="AK666" s="132">
        <f t="shared" si="225"/>
        <v>3000</v>
      </c>
      <c r="AL666" s="471"/>
      <c r="AM666" s="133" t="s">
        <v>900</v>
      </c>
      <c r="AN666" s="246">
        <v>44886</v>
      </c>
      <c r="AO666" s="288"/>
    </row>
    <row r="667" s="424" customFormat="1" customHeight="1" spans="1:41">
      <c r="A667" s="106" t="s">
        <v>2402</v>
      </c>
      <c r="B667" s="107" t="s">
        <v>2403</v>
      </c>
      <c r="C667" s="478" t="s">
        <v>2404</v>
      </c>
      <c r="D667" s="193" t="str">
        <f t="shared" si="219"/>
        <v>张松涛410503197502221511</v>
      </c>
      <c r="E667" s="444" t="s">
        <v>2405</v>
      </c>
      <c r="F667" s="167"/>
      <c r="G667" s="106">
        <v>3</v>
      </c>
      <c r="H667" s="106">
        <v>17</v>
      </c>
      <c r="I667" s="106"/>
      <c r="J667" s="106">
        <v>1707</v>
      </c>
      <c r="K667" s="106">
        <v>61.94</v>
      </c>
      <c r="L667" s="106">
        <v>20000</v>
      </c>
      <c r="M667" s="106"/>
      <c r="N667" s="106"/>
      <c r="O667" s="455">
        <v>10000</v>
      </c>
      <c r="P667" s="110">
        <v>619400</v>
      </c>
      <c r="Q667" s="486" t="s">
        <v>56</v>
      </c>
      <c r="R667" s="516">
        <v>619700</v>
      </c>
      <c r="S667" s="486">
        <v>-300</v>
      </c>
      <c r="T667" s="486"/>
      <c r="U667" s="517"/>
      <c r="V667" s="517"/>
      <c r="W667" s="517"/>
      <c r="X667" s="517"/>
      <c r="Y667" s="517"/>
      <c r="Z667" s="468"/>
      <c r="AA667" s="474"/>
      <c r="AB667" s="468"/>
      <c r="AC667" s="468"/>
      <c r="AD667" s="468"/>
      <c r="AE667" s="468"/>
      <c r="AF667" s="469"/>
      <c r="AG667" s="474">
        <v>43000</v>
      </c>
      <c r="AH667" s="475">
        <f>R667</f>
        <v>619700</v>
      </c>
      <c r="AI667" s="132">
        <f t="shared" si="223"/>
        <v>619700</v>
      </c>
      <c r="AJ667" s="132">
        <f t="shared" si="224"/>
        <v>619700</v>
      </c>
      <c r="AK667" s="132">
        <f t="shared" si="225"/>
        <v>0</v>
      </c>
      <c r="AL667" s="476" t="s">
        <v>2406</v>
      </c>
      <c r="AM667" s="129" t="s">
        <v>900</v>
      </c>
      <c r="AN667" s="290">
        <v>44886</v>
      </c>
      <c r="AO667" s="477"/>
    </row>
    <row r="668" s="422" customFormat="1" customHeight="1" spans="1:41">
      <c r="A668" s="115" t="s">
        <v>2407</v>
      </c>
      <c r="B668" s="155" t="s">
        <v>2408</v>
      </c>
      <c r="C668" s="406" t="s">
        <v>2409</v>
      </c>
      <c r="D668" s="193" t="str">
        <f t="shared" si="219"/>
        <v>李梅412321198511190022</v>
      </c>
      <c r="E668" s="166" t="s">
        <v>2410</v>
      </c>
      <c r="F668" s="156"/>
      <c r="G668" s="239">
        <v>6</v>
      </c>
      <c r="H668" s="115">
        <v>1</v>
      </c>
      <c r="I668" s="115">
        <v>7</v>
      </c>
      <c r="J668" s="115">
        <v>708</v>
      </c>
      <c r="K668" s="115">
        <v>109.13</v>
      </c>
      <c r="L668" s="115">
        <v>19730</v>
      </c>
      <c r="M668" s="115"/>
      <c r="N668" s="115"/>
      <c r="O668" s="431">
        <v>14000</v>
      </c>
      <c r="P668" s="445">
        <v>1527820</v>
      </c>
      <c r="Q668" s="464" t="s">
        <v>56</v>
      </c>
      <c r="R668" s="83">
        <v>1527820</v>
      </c>
      <c r="S668" s="83"/>
      <c r="T668" s="464" t="s">
        <v>47</v>
      </c>
      <c r="U668" s="83"/>
      <c r="V668" s="83"/>
      <c r="W668" s="83">
        <v>7093</v>
      </c>
      <c r="X668" s="83">
        <v>80</v>
      </c>
      <c r="Y668" s="83"/>
      <c r="Z668" s="83" t="s">
        <v>48</v>
      </c>
      <c r="AA668" s="294"/>
      <c r="AB668" s="83"/>
      <c r="AC668" s="83"/>
      <c r="AD668" s="83"/>
      <c r="AE668" s="83"/>
      <c r="AF668" s="467"/>
      <c r="AG668" s="294">
        <v>42978</v>
      </c>
      <c r="AH668" s="407"/>
      <c r="AI668" s="132">
        <f t="shared" si="223"/>
        <v>1534993</v>
      </c>
      <c r="AJ668" s="132">
        <f t="shared" si="224"/>
        <v>1534993</v>
      </c>
      <c r="AK668" s="132">
        <f t="shared" si="225"/>
        <v>0</v>
      </c>
      <c r="AL668" s="471"/>
      <c r="AM668" s="133" t="s">
        <v>900</v>
      </c>
      <c r="AN668" s="246">
        <v>44886</v>
      </c>
      <c r="AO668" s="288"/>
    </row>
    <row r="669" s="422" customFormat="1" customHeight="1" spans="1:41">
      <c r="A669" s="115" t="s">
        <v>2411</v>
      </c>
      <c r="B669" s="155" t="s">
        <v>2412</v>
      </c>
      <c r="C669" s="406" t="s">
        <v>2413</v>
      </c>
      <c r="D669" s="193" t="str">
        <f t="shared" si="219"/>
        <v>张占成410203197612060054</v>
      </c>
      <c r="E669" s="155">
        <v>15039665167</v>
      </c>
      <c r="F669" s="115"/>
      <c r="G669" s="239">
        <v>6</v>
      </c>
      <c r="H669" s="115">
        <v>2</v>
      </c>
      <c r="I669" s="115">
        <v>24</v>
      </c>
      <c r="J669" s="115">
        <v>2401</v>
      </c>
      <c r="K669" s="115">
        <v>109.13</v>
      </c>
      <c r="L669" s="115">
        <v>19960</v>
      </c>
      <c r="M669" s="115"/>
      <c r="N669" s="115"/>
      <c r="O669" s="431">
        <v>19950</v>
      </c>
      <c r="P669" s="445">
        <v>2177144</v>
      </c>
      <c r="Q669" s="83" t="s">
        <v>56</v>
      </c>
      <c r="R669" s="83">
        <v>2177144</v>
      </c>
      <c r="S669" s="83"/>
      <c r="T669" s="464" t="s">
        <v>47</v>
      </c>
      <c r="U669" s="83"/>
      <c r="V669" s="83"/>
      <c r="W669" s="83">
        <v>7093</v>
      </c>
      <c r="X669" s="83">
        <v>80</v>
      </c>
      <c r="Y669" s="83"/>
      <c r="Z669" s="83" t="s">
        <v>48</v>
      </c>
      <c r="AA669" s="294"/>
      <c r="AB669" s="83"/>
      <c r="AC669" s="83"/>
      <c r="AD669" s="83"/>
      <c r="AE669" s="83"/>
      <c r="AF669" s="467"/>
      <c r="AG669" s="294">
        <v>43328</v>
      </c>
      <c r="AH669" s="407"/>
      <c r="AI669" s="132">
        <f t="shared" si="223"/>
        <v>2184317</v>
      </c>
      <c r="AJ669" s="132">
        <f t="shared" si="224"/>
        <v>2184317</v>
      </c>
      <c r="AK669" s="132">
        <f t="shared" si="225"/>
        <v>0</v>
      </c>
      <c r="AL669" s="471"/>
      <c r="AM669" s="133" t="s">
        <v>900</v>
      </c>
      <c r="AN669" s="246">
        <v>44886</v>
      </c>
      <c r="AO669" s="288"/>
    </row>
    <row r="670" s="252" customFormat="1" customHeight="1" spans="1:44">
      <c r="A670" s="106" t="s">
        <v>2414</v>
      </c>
      <c r="B670" s="107" t="s">
        <v>2415</v>
      </c>
      <c r="C670" s="444" t="s">
        <v>2416</v>
      </c>
      <c r="D670" s="193" t="str">
        <f t="shared" si="219"/>
        <v>李媛410183199411062024</v>
      </c>
      <c r="E670" s="107">
        <v>15003826079</v>
      </c>
      <c r="F670" s="106"/>
      <c r="G670" s="106">
        <v>3</v>
      </c>
      <c r="H670" s="106">
        <v>14</v>
      </c>
      <c r="I670" s="106"/>
      <c r="J670" s="106">
        <v>1432</v>
      </c>
      <c r="K670" s="106">
        <v>55.78</v>
      </c>
      <c r="L670" s="106">
        <v>20000</v>
      </c>
      <c r="M670" s="106"/>
      <c r="N670" s="106"/>
      <c r="O670" s="455">
        <v>9992.53</v>
      </c>
      <c r="P670" s="445">
        <v>557383</v>
      </c>
      <c r="Q670" s="110" t="s">
        <v>66</v>
      </c>
      <c r="R670" s="456">
        <v>111597</v>
      </c>
      <c r="S670" s="456"/>
      <c r="T670" s="457">
        <v>445786</v>
      </c>
      <c r="U670" s="457"/>
      <c r="V670" s="457"/>
      <c r="W670" s="457"/>
      <c r="X670" s="457"/>
      <c r="Y670" s="457"/>
      <c r="Z670" s="106"/>
      <c r="AA670" s="290"/>
      <c r="AB670" s="106">
        <v>3000</v>
      </c>
      <c r="AC670" s="106"/>
      <c r="AD670" s="106"/>
      <c r="AE670" s="181"/>
      <c r="AF670" s="181"/>
      <c r="AG670" s="247">
        <v>42752</v>
      </c>
      <c r="AH670" s="181"/>
      <c r="AI670" s="132">
        <f t="shared" si="223"/>
        <v>114597</v>
      </c>
      <c r="AJ670" s="132">
        <f t="shared" si="224"/>
        <v>111597</v>
      </c>
      <c r="AK670" s="132">
        <f t="shared" si="225"/>
        <v>3000</v>
      </c>
      <c r="AL670" s="181"/>
      <c r="AM670" s="115" t="s">
        <v>974</v>
      </c>
      <c r="AN670" s="246">
        <v>44866</v>
      </c>
      <c r="AO670" s="259"/>
      <c r="AP670" s="96"/>
      <c r="AQ670" s="96"/>
      <c r="AR670" s="96"/>
    </row>
    <row r="671" s="422" customFormat="1" customHeight="1" spans="1:44">
      <c r="A671" s="106" t="s">
        <v>2417</v>
      </c>
      <c r="B671" s="339" t="s">
        <v>2418</v>
      </c>
      <c r="C671" s="460" t="s">
        <v>2419</v>
      </c>
      <c r="D671" s="193" t="str">
        <f t="shared" si="219"/>
        <v>马国威41302419820404001X</v>
      </c>
      <c r="E671" s="107">
        <v>13783632444</v>
      </c>
      <c r="F671" s="194"/>
      <c r="G671" s="106">
        <v>11</v>
      </c>
      <c r="H671" s="106">
        <v>3</v>
      </c>
      <c r="I671" s="106">
        <v>7</v>
      </c>
      <c r="J671" s="106">
        <v>703</v>
      </c>
      <c r="K671" s="106">
        <v>151.44</v>
      </c>
      <c r="L671" s="106">
        <v>10703</v>
      </c>
      <c r="M671" s="106"/>
      <c r="N671" s="106"/>
      <c r="O671" s="447">
        <v>8482.4</v>
      </c>
      <c r="P671" s="106">
        <v>1284575</v>
      </c>
      <c r="Q671" s="339" t="s">
        <v>66</v>
      </c>
      <c r="R671" s="487">
        <v>385575</v>
      </c>
      <c r="S671" s="487"/>
      <c r="T671" s="487">
        <v>898999.656</v>
      </c>
      <c r="U671" s="488"/>
      <c r="V671" s="339"/>
      <c r="W671" s="339">
        <v>9843</v>
      </c>
      <c r="X671" s="339">
        <v>80</v>
      </c>
      <c r="Y671" s="339"/>
      <c r="Z671" s="490"/>
      <c r="AA671" s="492"/>
      <c r="AB671" s="490">
        <v>1370</v>
      </c>
      <c r="AC671" s="490"/>
      <c r="AD671" s="490"/>
      <c r="AE671" s="181"/>
      <c r="AF671" s="181"/>
      <c r="AG671" s="247">
        <v>42040</v>
      </c>
      <c r="AH671" s="181"/>
      <c r="AI671" s="132">
        <f t="shared" si="223"/>
        <v>396868</v>
      </c>
      <c r="AJ671" s="132">
        <f t="shared" si="224"/>
        <v>395498</v>
      </c>
      <c r="AK671" s="132">
        <f t="shared" si="225"/>
        <v>1370</v>
      </c>
      <c r="AL671" s="181"/>
      <c r="AM671" s="115" t="s">
        <v>974</v>
      </c>
      <c r="AN671" s="246">
        <v>44866</v>
      </c>
      <c r="AO671" s="259"/>
      <c r="AP671" s="202"/>
      <c r="AQ671" s="202"/>
      <c r="AR671" s="202"/>
    </row>
    <row r="672" s="422" customFormat="1" customHeight="1" spans="1:44">
      <c r="A672" s="106" t="s">
        <v>2420</v>
      </c>
      <c r="B672" s="107" t="s">
        <v>2421</v>
      </c>
      <c r="C672" s="406" t="s">
        <v>2422</v>
      </c>
      <c r="D672" s="193" t="str">
        <f t="shared" si="219"/>
        <v>吕奕霖120224199103150029</v>
      </c>
      <c r="E672" s="155">
        <v>18002170808</v>
      </c>
      <c r="F672" s="115"/>
      <c r="G672" s="115">
        <v>3</v>
      </c>
      <c r="H672" s="115">
        <v>13</v>
      </c>
      <c r="I672" s="115"/>
      <c r="J672" s="115">
        <v>1309</v>
      </c>
      <c r="K672" s="115">
        <v>62.31</v>
      </c>
      <c r="L672" s="115">
        <v>20000</v>
      </c>
      <c r="M672" s="115"/>
      <c r="N672" s="115"/>
      <c r="O672" s="431">
        <v>8858.82</v>
      </c>
      <c r="P672" s="445">
        <v>551993</v>
      </c>
      <c r="Q672" s="464" t="s">
        <v>56</v>
      </c>
      <c r="R672" s="465">
        <v>551993</v>
      </c>
      <c r="S672" s="465"/>
      <c r="T672" s="466" t="s">
        <v>47</v>
      </c>
      <c r="U672" s="485"/>
      <c r="V672" s="466"/>
      <c r="W672" s="466">
        <v>4050</v>
      </c>
      <c r="X672" s="466">
        <v>550</v>
      </c>
      <c r="Y672" s="466"/>
      <c r="Z672" s="83" t="s">
        <v>48</v>
      </c>
      <c r="AA672" s="294"/>
      <c r="AB672" s="83">
        <v>3000</v>
      </c>
      <c r="AC672" s="83"/>
      <c r="AD672" s="83"/>
      <c r="AE672" s="181"/>
      <c r="AF672" s="181"/>
      <c r="AG672" s="247">
        <v>43272</v>
      </c>
      <c r="AH672" s="181"/>
      <c r="AI672" s="132">
        <f t="shared" si="223"/>
        <v>559593</v>
      </c>
      <c r="AJ672" s="132">
        <f t="shared" si="224"/>
        <v>556593</v>
      </c>
      <c r="AK672" s="132">
        <f t="shared" si="225"/>
        <v>3000</v>
      </c>
      <c r="AL672" s="181"/>
      <c r="AM672" s="115" t="s">
        <v>974</v>
      </c>
      <c r="AN672" s="246">
        <v>44866</v>
      </c>
      <c r="AO672" s="259"/>
      <c r="AP672" s="202"/>
      <c r="AQ672" s="202"/>
      <c r="AR672" s="202"/>
    </row>
    <row r="673" s="422" customFormat="1" customHeight="1" spans="1:44">
      <c r="A673" s="106" t="s">
        <v>2423</v>
      </c>
      <c r="B673" s="107" t="s">
        <v>2424</v>
      </c>
      <c r="C673" s="406" t="s">
        <v>2425</v>
      </c>
      <c r="D673" s="193" t="str">
        <f t="shared" si="219"/>
        <v>苗永沛410302199210200016</v>
      </c>
      <c r="E673" s="155">
        <v>18803710969</v>
      </c>
      <c r="F673" s="115"/>
      <c r="G673" s="115">
        <v>3</v>
      </c>
      <c r="H673" s="115">
        <v>13</v>
      </c>
      <c r="I673" s="115"/>
      <c r="J673" s="115">
        <v>1310</v>
      </c>
      <c r="K673" s="115">
        <v>63</v>
      </c>
      <c r="L673" s="115">
        <v>20000</v>
      </c>
      <c r="M673" s="115"/>
      <c r="N673" s="115"/>
      <c r="O673" s="431">
        <v>8858.41</v>
      </c>
      <c r="P673" s="445">
        <v>558080</v>
      </c>
      <c r="Q673" s="464" t="s">
        <v>56</v>
      </c>
      <c r="R673" s="465">
        <v>558080</v>
      </c>
      <c r="S673" s="465"/>
      <c r="T673" s="466" t="s">
        <v>47</v>
      </c>
      <c r="U673" s="466"/>
      <c r="V673" s="466"/>
      <c r="W673" s="466">
        <v>4095</v>
      </c>
      <c r="X673" s="466">
        <v>550</v>
      </c>
      <c r="Y673" s="466"/>
      <c r="Z673" s="83" t="s">
        <v>48</v>
      </c>
      <c r="AA673" s="294"/>
      <c r="AB673" s="83">
        <v>3000</v>
      </c>
      <c r="AC673" s="83"/>
      <c r="AD673" s="83"/>
      <c r="AE673" s="181"/>
      <c r="AF673" s="181"/>
      <c r="AG673" s="247">
        <v>42542</v>
      </c>
      <c r="AH673" s="181"/>
      <c r="AI673" s="132">
        <f t="shared" si="223"/>
        <v>565725</v>
      </c>
      <c r="AJ673" s="132">
        <f t="shared" si="224"/>
        <v>562725</v>
      </c>
      <c r="AK673" s="132">
        <f t="shared" si="225"/>
        <v>3000</v>
      </c>
      <c r="AL673" s="181"/>
      <c r="AM673" s="115" t="s">
        <v>974</v>
      </c>
      <c r="AN673" s="246">
        <v>44866</v>
      </c>
      <c r="AO673" s="259"/>
      <c r="AP673" s="202"/>
      <c r="AQ673" s="202"/>
      <c r="AR673" s="202"/>
    </row>
    <row r="674" s="422" customFormat="1" customHeight="1" spans="1:44">
      <c r="A674" s="106" t="s">
        <v>2426</v>
      </c>
      <c r="B674" s="155" t="s">
        <v>2427</v>
      </c>
      <c r="C674" s="406" t="s">
        <v>2428</v>
      </c>
      <c r="D674" s="193" t="str">
        <f t="shared" si="219"/>
        <v>王力410523199408265037</v>
      </c>
      <c r="E674" s="166" t="s">
        <v>2429</v>
      </c>
      <c r="F674" s="156"/>
      <c r="G674" s="239">
        <v>6</v>
      </c>
      <c r="H674" s="115">
        <v>2</v>
      </c>
      <c r="I674" s="115">
        <v>20</v>
      </c>
      <c r="J674" s="115">
        <v>2002</v>
      </c>
      <c r="K674" s="115">
        <v>86.33</v>
      </c>
      <c r="L674" s="115">
        <v>19780</v>
      </c>
      <c r="M674" s="115"/>
      <c r="N674" s="115"/>
      <c r="O674" s="431">
        <v>17000</v>
      </c>
      <c r="P674" s="445">
        <v>1467610</v>
      </c>
      <c r="Q674" s="464" t="s">
        <v>66</v>
      </c>
      <c r="R674" s="83">
        <v>467610</v>
      </c>
      <c r="S674" s="83"/>
      <c r="T674" s="464">
        <v>1000000</v>
      </c>
      <c r="U674" s="83"/>
      <c r="V674" s="83"/>
      <c r="W674" s="83">
        <v>5611</v>
      </c>
      <c r="X674" s="83">
        <v>80</v>
      </c>
      <c r="Y674" s="83"/>
      <c r="Z674" s="83"/>
      <c r="AA674" s="294"/>
      <c r="AB674" s="83"/>
      <c r="AC674" s="83"/>
      <c r="AD674" s="83"/>
      <c r="AE674" s="181"/>
      <c r="AF674" s="181"/>
      <c r="AG674" s="247">
        <v>43264</v>
      </c>
      <c r="AH674" s="181"/>
      <c r="AI674" s="132">
        <f t="shared" si="223"/>
        <v>473301</v>
      </c>
      <c r="AJ674" s="132">
        <f t="shared" si="224"/>
        <v>473301</v>
      </c>
      <c r="AK674" s="132">
        <f t="shared" si="225"/>
        <v>0</v>
      </c>
      <c r="AL674" s="181"/>
      <c r="AM674" s="115" t="s">
        <v>974</v>
      </c>
      <c r="AN674" s="246">
        <v>44866</v>
      </c>
      <c r="AO674" s="259"/>
      <c r="AP674" s="202"/>
      <c r="AQ674" s="202"/>
      <c r="AR674" s="202"/>
    </row>
    <row r="675" s="422" customFormat="1" customHeight="1" spans="1:44">
      <c r="A675" s="106" t="s">
        <v>2430</v>
      </c>
      <c r="B675" s="115" t="s">
        <v>2431</v>
      </c>
      <c r="C675" s="115" t="s">
        <v>2432</v>
      </c>
      <c r="D675" s="193" t="str">
        <f t="shared" si="219"/>
        <v>刘海洋370481198407286718</v>
      </c>
      <c r="E675" s="454" t="s">
        <v>2433</v>
      </c>
      <c r="F675" s="115"/>
      <c r="G675" s="115">
        <v>10</v>
      </c>
      <c r="H675" s="115">
        <v>2</v>
      </c>
      <c r="I675" s="115">
        <v>14</v>
      </c>
      <c r="J675" s="115">
        <v>1406</v>
      </c>
      <c r="K675" s="115">
        <v>99.52</v>
      </c>
      <c r="L675" s="115">
        <v>9100</v>
      </c>
      <c r="M675" s="115"/>
      <c r="N675" s="115"/>
      <c r="O675" s="431">
        <v>9000</v>
      </c>
      <c r="P675" s="239">
        <v>895680</v>
      </c>
      <c r="Q675" s="445" t="s">
        <v>66</v>
      </c>
      <c r="R675" s="115">
        <v>305680</v>
      </c>
      <c r="S675" s="115"/>
      <c r="T675" s="464" t="s">
        <v>47</v>
      </c>
      <c r="U675" s="181"/>
      <c r="V675" s="115">
        <v>590000</v>
      </c>
      <c r="W675" s="115">
        <v>6468</v>
      </c>
      <c r="X675" s="115">
        <v>80</v>
      </c>
      <c r="Y675" s="115"/>
      <c r="Z675" s="115" t="s">
        <v>48</v>
      </c>
      <c r="AA675" s="246"/>
      <c r="AB675" s="115">
        <v>1339</v>
      </c>
      <c r="AC675" s="83"/>
      <c r="AD675" s="83"/>
      <c r="AE675" s="181"/>
      <c r="AF675" s="181"/>
      <c r="AG675" s="247">
        <v>42172</v>
      </c>
      <c r="AH675" s="181"/>
      <c r="AI675" s="132">
        <f t="shared" si="223"/>
        <v>903567</v>
      </c>
      <c r="AJ675" s="132">
        <f t="shared" si="224"/>
        <v>902228</v>
      </c>
      <c r="AK675" s="132">
        <f t="shared" si="225"/>
        <v>1339</v>
      </c>
      <c r="AL675" s="181"/>
      <c r="AM675" s="115" t="s">
        <v>974</v>
      </c>
      <c r="AN675" s="246">
        <v>44866</v>
      </c>
      <c r="AO675" s="259"/>
      <c r="AP675" s="202"/>
      <c r="AQ675" s="202"/>
      <c r="AR675" s="202"/>
    </row>
    <row r="676" s="422" customFormat="1" customHeight="1" spans="1:44">
      <c r="A676" s="106" t="s">
        <v>2434</v>
      </c>
      <c r="B676" s="115" t="s">
        <v>2435</v>
      </c>
      <c r="C676" s="403" t="s">
        <v>2436</v>
      </c>
      <c r="D676" s="193" t="str">
        <f t="shared" si="219"/>
        <v>要瑞娟410223198608121029</v>
      </c>
      <c r="E676" s="155" t="s">
        <v>2437</v>
      </c>
      <c r="F676" s="115"/>
      <c r="G676" s="239">
        <v>9</v>
      </c>
      <c r="H676" s="115">
        <v>3</v>
      </c>
      <c r="I676" s="115">
        <v>8</v>
      </c>
      <c r="J676" s="115">
        <v>803</v>
      </c>
      <c r="K676" s="115">
        <v>99.56</v>
      </c>
      <c r="L676" s="115">
        <v>8630</v>
      </c>
      <c r="M676" s="115"/>
      <c r="N676" s="115"/>
      <c r="O676" s="431">
        <v>8529.61</v>
      </c>
      <c r="P676" s="239">
        <v>849208</v>
      </c>
      <c r="Q676" s="464" t="s">
        <v>66</v>
      </c>
      <c r="R676" s="464">
        <v>269208</v>
      </c>
      <c r="S676" s="464"/>
      <c r="T676" s="464" t="s">
        <v>47</v>
      </c>
      <c r="U676" s="464"/>
      <c r="V676" s="464">
        <v>580000</v>
      </c>
      <c r="W676" s="83">
        <v>6471</v>
      </c>
      <c r="X676" s="83">
        <v>80</v>
      </c>
      <c r="Y676" s="83"/>
      <c r="Z676" s="83" t="s">
        <v>48</v>
      </c>
      <c r="AA676" s="294"/>
      <c r="AB676" s="83">
        <v>1278</v>
      </c>
      <c r="AC676" s="83"/>
      <c r="AD676" s="83"/>
      <c r="AE676" s="181"/>
      <c r="AF676" s="181"/>
      <c r="AG676" s="247">
        <v>42146</v>
      </c>
      <c r="AH676" s="181"/>
      <c r="AI676" s="132">
        <f t="shared" ref="AI676:AI699" si="226">R676+V676+W676+X676+AA676+AB676+AC676+AD676</f>
        <v>857037</v>
      </c>
      <c r="AJ676" s="132">
        <f t="shared" ref="AJ676:AJ699" si="227">R676+W676+V676+X676+AA676</f>
        <v>855759</v>
      </c>
      <c r="AK676" s="132">
        <f t="shared" ref="AK676:AK699" si="228">AI676-AJ676</f>
        <v>1278</v>
      </c>
      <c r="AL676" s="181"/>
      <c r="AM676" s="115" t="s">
        <v>974</v>
      </c>
      <c r="AN676" s="246">
        <v>44866</v>
      </c>
      <c r="AO676" s="259"/>
      <c r="AP676" s="202"/>
      <c r="AQ676" s="202"/>
      <c r="AR676" s="202"/>
    </row>
    <row r="677" s="422" customFormat="1" customHeight="1" spans="1:44">
      <c r="A677" s="106" t="s">
        <v>2438</v>
      </c>
      <c r="B677" s="404" t="s">
        <v>2439</v>
      </c>
      <c r="C677" s="406" t="s">
        <v>2440</v>
      </c>
      <c r="D677" s="193" t="str">
        <f t="shared" si="219"/>
        <v>李爱英410825196108157523</v>
      </c>
      <c r="E677" s="166" t="s">
        <v>2441</v>
      </c>
      <c r="F677" s="156" t="s">
        <v>2442</v>
      </c>
      <c r="G677" s="115">
        <v>2</v>
      </c>
      <c r="H677" s="115">
        <v>24</v>
      </c>
      <c r="I677" s="115"/>
      <c r="J677" s="115">
        <v>2410</v>
      </c>
      <c r="K677" s="115">
        <v>47.97</v>
      </c>
      <c r="L677" s="239">
        <v>30000</v>
      </c>
      <c r="M677" s="239"/>
      <c r="N677" s="239"/>
      <c r="O677" s="431">
        <v>15457.77</v>
      </c>
      <c r="P677" s="239">
        <v>741509</v>
      </c>
      <c r="Q677" s="464" t="s">
        <v>66</v>
      </c>
      <c r="R677" s="83">
        <v>371509</v>
      </c>
      <c r="S677" s="83"/>
      <c r="T677" s="464">
        <v>370000</v>
      </c>
      <c r="U677" s="83"/>
      <c r="V677" s="83"/>
      <c r="W677" s="83">
        <v>3118</v>
      </c>
      <c r="X677" s="83">
        <v>550</v>
      </c>
      <c r="Y677" s="83"/>
      <c r="Z677" s="83"/>
      <c r="AA677" s="294"/>
      <c r="AB677" s="83"/>
      <c r="AC677" s="83"/>
      <c r="AD677" s="83"/>
      <c r="AE677" s="181"/>
      <c r="AF677" s="181"/>
      <c r="AG677" s="247">
        <v>43355</v>
      </c>
      <c r="AH677" s="181"/>
      <c r="AI677" s="132">
        <f t="shared" si="226"/>
        <v>375177</v>
      </c>
      <c r="AJ677" s="132">
        <f t="shared" si="227"/>
        <v>375177</v>
      </c>
      <c r="AK677" s="132">
        <f t="shared" si="228"/>
        <v>0</v>
      </c>
      <c r="AL677" s="181"/>
      <c r="AM677" s="115" t="s">
        <v>974</v>
      </c>
      <c r="AN677" s="246">
        <v>44867</v>
      </c>
      <c r="AO677" s="259"/>
      <c r="AP677" s="202"/>
      <c r="AQ677" s="202"/>
      <c r="AR677" s="202"/>
    </row>
    <row r="678" s="422" customFormat="1" customHeight="1" spans="1:44">
      <c r="A678" s="106" t="s">
        <v>2443</v>
      </c>
      <c r="B678" s="115" t="s">
        <v>2444</v>
      </c>
      <c r="C678" s="156" t="s">
        <v>2445</v>
      </c>
      <c r="D678" s="193" t="str">
        <f t="shared" si="219"/>
        <v>翟梦圆410105198902090149</v>
      </c>
      <c r="E678" s="155">
        <v>18595649162</v>
      </c>
      <c r="F678" s="115"/>
      <c r="G678" s="239">
        <v>9</v>
      </c>
      <c r="H678" s="115">
        <v>3</v>
      </c>
      <c r="I678" s="115">
        <v>29</v>
      </c>
      <c r="J678" s="115">
        <v>2901</v>
      </c>
      <c r="K678" s="115">
        <v>93.4</v>
      </c>
      <c r="L678" s="115">
        <v>17900</v>
      </c>
      <c r="M678" s="115"/>
      <c r="N678" s="115"/>
      <c r="O678" s="455">
        <v>14500</v>
      </c>
      <c r="P678" s="239">
        <v>1354300</v>
      </c>
      <c r="Q678" s="445" t="s">
        <v>56</v>
      </c>
      <c r="R678" s="445">
        <v>1358299</v>
      </c>
      <c r="S678" s="445">
        <v>-3999</v>
      </c>
      <c r="T678" s="445" t="s">
        <v>47</v>
      </c>
      <c r="U678" s="445"/>
      <c r="V678" s="115"/>
      <c r="W678" s="115">
        <v>6071</v>
      </c>
      <c r="X678" s="115">
        <v>80</v>
      </c>
      <c r="Y678" s="115"/>
      <c r="Z678" s="115" t="s">
        <v>48</v>
      </c>
      <c r="AA678" s="246"/>
      <c r="AB678" s="115"/>
      <c r="AC678" s="115"/>
      <c r="AD678" s="115"/>
      <c r="AE678" s="181"/>
      <c r="AF678" s="181"/>
      <c r="AG678" s="247">
        <v>42808</v>
      </c>
      <c r="AH678" s="181"/>
      <c r="AI678" s="132">
        <f t="shared" si="226"/>
        <v>1364450</v>
      </c>
      <c r="AJ678" s="132">
        <f t="shared" si="227"/>
        <v>1364450</v>
      </c>
      <c r="AK678" s="132">
        <f t="shared" si="228"/>
        <v>0</v>
      </c>
      <c r="AL678" s="181"/>
      <c r="AM678" s="115" t="s">
        <v>974</v>
      </c>
      <c r="AN678" s="246">
        <v>44867</v>
      </c>
      <c r="AO678" s="259"/>
      <c r="AP678" s="96"/>
      <c r="AQ678" s="96"/>
      <c r="AR678" s="96"/>
    </row>
    <row r="679" s="422" customFormat="1" customHeight="1" spans="1:44">
      <c r="A679" s="106" t="s">
        <v>2446</v>
      </c>
      <c r="B679" s="115" t="s">
        <v>2447</v>
      </c>
      <c r="C679" s="403" t="s">
        <v>2448</v>
      </c>
      <c r="D679" s="193" t="str">
        <f t="shared" si="219"/>
        <v>张巧莲410105195312181047</v>
      </c>
      <c r="E679" s="155">
        <v>13598402738</v>
      </c>
      <c r="F679" s="115"/>
      <c r="G679" s="239">
        <v>9</v>
      </c>
      <c r="H679" s="115">
        <v>3</v>
      </c>
      <c r="I679" s="115">
        <v>14</v>
      </c>
      <c r="J679" s="115">
        <v>1404</v>
      </c>
      <c r="K679" s="115">
        <v>94.65</v>
      </c>
      <c r="L679" s="115">
        <v>17900</v>
      </c>
      <c r="M679" s="115"/>
      <c r="N679" s="115"/>
      <c r="O679" s="431">
        <v>14500</v>
      </c>
      <c r="P679" s="239">
        <v>1372425</v>
      </c>
      <c r="Q679" s="464" t="s">
        <v>56</v>
      </c>
      <c r="R679" s="464">
        <v>1449568</v>
      </c>
      <c r="S679" s="464">
        <v>-77143</v>
      </c>
      <c r="T679" s="464">
        <v>0</v>
      </c>
      <c r="U679" s="464"/>
      <c r="V679" s="83"/>
      <c r="W679" s="83">
        <v>6152</v>
      </c>
      <c r="X679" s="83">
        <v>80</v>
      </c>
      <c r="Y679" s="83"/>
      <c r="Z679" s="83" t="s">
        <v>48</v>
      </c>
      <c r="AA679" s="294"/>
      <c r="AB679" s="83"/>
      <c r="AC679" s="83"/>
      <c r="AD679" s="83"/>
      <c r="AE679" s="181"/>
      <c r="AF679" s="181"/>
      <c r="AG679" s="247">
        <v>42808</v>
      </c>
      <c r="AH679" s="181"/>
      <c r="AI679" s="132">
        <f t="shared" si="226"/>
        <v>1455800</v>
      </c>
      <c r="AJ679" s="132">
        <f t="shared" si="227"/>
        <v>1455800</v>
      </c>
      <c r="AK679" s="132">
        <f t="shared" si="228"/>
        <v>0</v>
      </c>
      <c r="AL679" s="181"/>
      <c r="AM679" s="115" t="s">
        <v>974</v>
      </c>
      <c r="AN679" s="246">
        <v>44867</v>
      </c>
      <c r="AO679" s="259"/>
      <c r="AP679" s="202"/>
      <c r="AQ679" s="202"/>
      <c r="AR679" s="202"/>
    </row>
    <row r="680" s="422" customFormat="1" customHeight="1" spans="1:44">
      <c r="A680" s="106" t="s">
        <v>2449</v>
      </c>
      <c r="B680" s="115" t="s">
        <v>2450</v>
      </c>
      <c r="C680" s="547" t="s">
        <v>2451</v>
      </c>
      <c r="D680" s="193" t="str">
        <f t="shared" si="219"/>
        <v>陈嘉宾411303199609271016</v>
      </c>
      <c r="E680" s="155">
        <v>18838960815</v>
      </c>
      <c r="F680" s="115" t="s">
        <v>2452</v>
      </c>
      <c r="G680" s="239">
        <v>9</v>
      </c>
      <c r="H680" s="115">
        <v>3</v>
      </c>
      <c r="I680" s="115">
        <v>25</v>
      </c>
      <c r="J680" s="115">
        <v>2502</v>
      </c>
      <c r="K680" s="115">
        <v>99.56</v>
      </c>
      <c r="L680" s="115">
        <v>19550</v>
      </c>
      <c r="M680" s="115"/>
      <c r="N680" s="115"/>
      <c r="O680" s="431">
        <v>19550</v>
      </c>
      <c r="P680" s="115">
        <v>1946398</v>
      </c>
      <c r="Q680" s="115" t="s">
        <v>66</v>
      </c>
      <c r="R680" s="115">
        <v>586398</v>
      </c>
      <c r="S680" s="115"/>
      <c r="T680" s="115">
        <v>1360000</v>
      </c>
      <c r="U680" s="115"/>
      <c r="V680" s="115"/>
      <c r="W680" s="115">
        <v>6471</v>
      </c>
      <c r="X680" s="115">
        <v>80</v>
      </c>
      <c r="Y680" s="115"/>
      <c r="Z680" s="83"/>
      <c r="AA680" s="294"/>
      <c r="AB680" s="83"/>
      <c r="AC680" s="83"/>
      <c r="AD680" s="83"/>
      <c r="AE680" s="181"/>
      <c r="AF680" s="181"/>
      <c r="AG680" s="247">
        <v>43463</v>
      </c>
      <c r="AH680" s="181"/>
      <c r="AI680" s="132">
        <f t="shared" si="226"/>
        <v>592949</v>
      </c>
      <c r="AJ680" s="132">
        <f t="shared" si="227"/>
        <v>592949</v>
      </c>
      <c r="AK680" s="132">
        <f t="shared" si="228"/>
        <v>0</v>
      </c>
      <c r="AL680" s="181"/>
      <c r="AM680" s="115" t="s">
        <v>974</v>
      </c>
      <c r="AN680" s="246">
        <v>44867</v>
      </c>
      <c r="AO680" s="259"/>
      <c r="AP680" s="202"/>
      <c r="AQ680" s="202"/>
      <c r="AR680" s="202"/>
    </row>
    <row r="681" s="422" customFormat="1" customHeight="1" spans="1:44">
      <c r="A681" s="106" t="s">
        <v>2453</v>
      </c>
      <c r="B681" s="115" t="s">
        <v>2454</v>
      </c>
      <c r="C681" s="403" t="s">
        <v>2455</v>
      </c>
      <c r="D681" s="193" t="str">
        <f t="shared" si="219"/>
        <v>郑强410103197808103719</v>
      </c>
      <c r="E681" s="155">
        <v>18003850395</v>
      </c>
      <c r="F681" s="115"/>
      <c r="G681" s="239">
        <v>9</v>
      </c>
      <c r="H681" s="115">
        <v>3</v>
      </c>
      <c r="I681" s="115">
        <v>26</v>
      </c>
      <c r="J681" s="115">
        <v>2601</v>
      </c>
      <c r="K681" s="115">
        <v>93.4</v>
      </c>
      <c r="L681" s="115">
        <v>8838</v>
      </c>
      <c r="M681" s="115"/>
      <c r="N681" s="115"/>
      <c r="O681" s="431">
        <v>8737.61</v>
      </c>
      <c r="P681" s="445">
        <v>816092.673751328</v>
      </c>
      <c r="Q681" s="464" t="s">
        <v>66</v>
      </c>
      <c r="R681" s="464">
        <v>250000</v>
      </c>
      <c r="S681" s="464"/>
      <c r="T681" s="464">
        <v>566092.673751328</v>
      </c>
      <c r="U681" s="464"/>
      <c r="V681" s="83"/>
      <c r="W681" s="83"/>
      <c r="X681" s="83"/>
      <c r="Y681" s="83"/>
      <c r="Z681" s="83"/>
      <c r="AA681" s="294"/>
      <c r="AB681" s="83"/>
      <c r="AC681" s="83"/>
      <c r="AD681" s="83"/>
      <c r="AE681" s="181"/>
      <c r="AF681" s="181"/>
      <c r="AG681" s="247">
        <v>42165</v>
      </c>
      <c r="AH681" s="181"/>
      <c r="AI681" s="132">
        <f t="shared" si="226"/>
        <v>250000</v>
      </c>
      <c r="AJ681" s="531">
        <f t="shared" si="227"/>
        <v>250000</v>
      </c>
      <c r="AK681" s="132">
        <f t="shared" si="228"/>
        <v>0</v>
      </c>
      <c r="AL681" s="181" t="s">
        <v>2456</v>
      </c>
      <c r="AM681" s="115" t="s">
        <v>974</v>
      </c>
      <c r="AN681" s="246">
        <v>44867</v>
      </c>
      <c r="AO681" s="259"/>
      <c r="AP681" s="202"/>
      <c r="AQ681" s="202"/>
      <c r="AR681" s="202"/>
    </row>
    <row r="682" s="422" customFormat="1" customHeight="1" spans="1:44">
      <c r="A682" s="106" t="s">
        <v>2457</v>
      </c>
      <c r="B682" s="155" t="s">
        <v>2458</v>
      </c>
      <c r="C682" s="166" t="s">
        <v>2459</v>
      </c>
      <c r="D682" s="193" t="str">
        <f t="shared" si="219"/>
        <v>王洋/何茜410102198606110177</v>
      </c>
      <c r="E682" s="166" t="s">
        <v>2460</v>
      </c>
      <c r="F682" s="156" t="s">
        <v>2461</v>
      </c>
      <c r="G682" s="239">
        <v>6</v>
      </c>
      <c r="H682" s="115">
        <v>1</v>
      </c>
      <c r="I682" s="115">
        <v>30</v>
      </c>
      <c r="J682" s="115">
        <v>3007</v>
      </c>
      <c r="K682" s="115">
        <v>86.33</v>
      </c>
      <c r="L682" s="115">
        <v>19460</v>
      </c>
      <c r="M682" s="115"/>
      <c r="N682" s="115"/>
      <c r="O682" s="431">
        <v>19459.92</v>
      </c>
      <c r="P682" s="445">
        <v>1679975</v>
      </c>
      <c r="Q682" s="445" t="s">
        <v>46</v>
      </c>
      <c r="R682" s="115">
        <v>1079975</v>
      </c>
      <c r="S682" s="115"/>
      <c r="T682" s="464" t="s">
        <v>47</v>
      </c>
      <c r="U682" s="115"/>
      <c r="V682" s="115">
        <v>600000</v>
      </c>
      <c r="W682" s="115">
        <v>5611</v>
      </c>
      <c r="X682" s="115">
        <v>90</v>
      </c>
      <c r="Y682" s="115"/>
      <c r="Z682" s="115" t="s">
        <v>48</v>
      </c>
      <c r="AA682" s="246"/>
      <c r="AB682" s="115"/>
      <c r="AC682" s="115"/>
      <c r="AD682" s="115"/>
      <c r="AE682" s="181"/>
      <c r="AF682" s="181"/>
      <c r="AG682" s="247">
        <v>43383</v>
      </c>
      <c r="AH682" s="181"/>
      <c r="AI682" s="132">
        <f t="shared" si="226"/>
        <v>1685676</v>
      </c>
      <c r="AJ682" s="132">
        <f t="shared" si="227"/>
        <v>1685676</v>
      </c>
      <c r="AK682" s="132">
        <f t="shared" si="228"/>
        <v>0</v>
      </c>
      <c r="AL682" s="181"/>
      <c r="AM682" s="115" t="s">
        <v>974</v>
      </c>
      <c r="AN682" s="246">
        <v>44868</v>
      </c>
      <c r="AO682" s="259"/>
      <c r="AP682" s="202"/>
      <c r="AQ682" s="202"/>
      <c r="AR682" s="202"/>
    </row>
    <row r="683" s="422" customFormat="1" customHeight="1" spans="1:44">
      <c r="A683" s="106" t="s">
        <v>2462</v>
      </c>
      <c r="B683" s="115" t="s">
        <v>2463</v>
      </c>
      <c r="C683" s="403" t="s">
        <v>2464</v>
      </c>
      <c r="D683" s="193" t="str">
        <f t="shared" si="219"/>
        <v>吉喆阳410423199003100028</v>
      </c>
      <c r="E683" s="155">
        <v>15736751931</v>
      </c>
      <c r="F683" s="115"/>
      <c r="G683" s="239">
        <v>9</v>
      </c>
      <c r="H683" s="115">
        <v>3</v>
      </c>
      <c r="I683" s="115">
        <v>15</v>
      </c>
      <c r="J683" s="115">
        <v>1504</v>
      </c>
      <c r="K683" s="115">
        <v>94.65</v>
      </c>
      <c r="L683" s="115">
        <v>8710</v>
      </c>
      <c r="M683" s="115"/>
      <c r="N683" s="115"/>
      <c r="O683" s="431">
        <v>8609.6</v>
      </c>
      <c r="P683" s="239">
        <v>814899</v>
      </c>
      <c r="Q683" s="464" t="s">
        <v>46</v>
      </c>
      <c r="R683" s="405">
        <v>414899</v>
      </c>
      <c r="S683" s="405"/>
      <c r="T683" s="464" t="s">
        <v>47</v>
      </c>
      <c r="U683" s="464"/>
      <c r="V683" s="83">
        <v>400000</v>
      </c>
      <c r="W683" s="83">
        <v>6152</v>
      </c>
      <c r="X683" s="83">
        <v>80</v>
      </c>
      <c r="Y683" s="83"/>
      <c r="Z683" s="83" t="s">
        <v>48</v>
      </c>
      <c r="AA683" s="294"/>
      <c r="AB683" s="83"/>
      <c r="AC683" s="83"/>
      <c r="AD683" s="83"/>
      <c r="AE683" s="181"/>
      <c r="AF683" s="181"/>
      <c r="AG683" s="247">
        <v>43320</v>
      </c>
      <c r="AH683" s="181"/>
      <c r="AI683" s="132">
        <f t="shared" si="226"/>
        <v>821131</v>
      </c>
      <c r="AJ683" s="132">
        <f t="shared" si="227"/>
        <v>821131</v>
      </c>
      <c r="AK683" s="132">
        <f t="shared" si="228"/>
        <v>0</v>
      </c>
      <c r="AL683" s="181" t="s">
        <v>2465</v>
      </c>
      <c r="AM683" s="115" t="s">
        <v>974</v>
      </c>
      <c r="AN683" s="246">
        <v>44868</v>
      </c>
      <c r="AO683" s="259"/>
      <c r="AP683" s="202"/>
      <c r="AQ683" s="202"/>
      <c r="AR683" s="202"/>
    </row>
    <row r="684" s="422" customFormat="1" customHeight="1" spans="1:44">
      <c r="A684" s="106" t="s">
        <v>2466</v>
      </c>
      <c r="B684" s="107" t="s">
        <v>2467</v>
      </c>
      <c r="C684" s="406" t="s">
        <v>2468</v>
      </c>
      <c r="D684" s="193" t="str">
        <f t="shared" si="219"/>
        <v>吴颖淑412328198203229620</v>
      </c>
      <c r="E684" s="155">
        <v>13653706996</v>
      </c>
      <c r="F684" s="115"/>
      <c r="G684" s="115">
        <v>3</v>
      </c>
      <c r="H684" s="115">
        <v>7</v>
      </c>
      <c r="I684" s="115"/>
      <c r="J684" s="115">
        <v>703</v>
      </c>
      <c r="K684" s="115">
        <v>52.4</v>
      </c>
      <c r="L684" s="115">
        <v>20000</v>
      </c>
      <c r="M684" s="115"/>
      <c r="N684" s="115"/>
      <c r="O684" s="431">
        <v>9420.57</v>
      </c>
      <c r="P684" s="445">
        <v>493638</v>
      </c>
      <c r="Q684" s="464" t="s">
        <v>66</v>
      </c>
      <c r="R684" s="465">
        <v>253638</v>
      </c>
      <c r="S684" s="465"/>
      <c r="T684" s="466">
        <v>240000</v>
      </c>
      <c r="U684" s="466"/>
      <c r="V684" s="466"/>
      <c r="W684" s="466">
        <v>3406</v>
      </c>
      <c r="X684" s="466">
        <v>550</v>
      </c>
      <c r="Y684" s="466"/>
      <c r="Z684" s="83"/>
      <c r="AA684" s="294"/>
      <c r="AB684" s="83">
        <f>1574+3000</f>
        <v>4574</v>
      </c>
      <c r="AC684" s="83"/>
      <c r="AD684" s="83"/>
      <c r="AE684" s="181"/>
      <c r="AF684" s="181"/>
      <c r="AG684" s="247">
        <v>42571</v>
      </c>
      <c r="AH684" s="181"/>
      <c r="AI684" s="132">
        <f t="shared" si="226"/>
        <v>262168</v>
      </c>
      <c r="AJ684" s="132">
        <f t="shared" si="227"/>
        <v>257594</v>
      </c>
      <c r="AK684" s="132">
        <f t="shared" si="228"/>
        <v>4574</v>
      </c>
      <c r="AL684" s="176" t="s">
        <v>2469</v>
      </c>
      <c r="AM684" s="115" t="s">
        <v>974</v>
      </c>
      <c r="AN684" s="246">
        <v>44868</v>
      </c>
      <c r="AO684" s="259"/>
      <c r="AP684" s="202"/>
      <c r="AQ684" s="202"/>
      <c r="AR684" s="202"/>
    </row>
    <row r="685" s="422" customFormat="1" customHeight="1" spans="1:44">
      <c r="A685" s="106" t="s">
        <v>2470</v>
      </c>
      <c r="B685" s="107" t="s">
        <v>2471</v>
      </c>
      <c r="C685" s="406" t="s">
        <v>2472</v>
      </c>
      <c r="D685" s="193" t="str">
        <f t="shared" si="219"/>
        <v>刘怀远    刘晓彦412328198212120133</v>
      </c>
      <c r="E685" s="155" t="s">
        <v>2473</v>
      </c>
      <c r="F685" s="115"/>
      <c r="G685" s="115">
        <v>3</v>
      </c>
      <c r="H685" s="115">
        <v>8</v>
      </c>
      <c r="I685" s="115"/>
      <c r="J685" s="115">
        <v>803</v>
      </c>
      <c r="K685" s="115">
        <v>52.4</v>
      </c>
      <c r="L685" s="115">
        <v>20000</v>
      </c>
      <c r="M685" s="115"/>
      <c r="N685" s="115"/>
      <c r="O685" s="431">
        <v>9440.92</v>
      </c>
      <c r="P685" s="445">
        <v>494704</v>
      </c>
      <c r="Q685" s="464" t="s">
        <v>56</v>
      </c>
      <c r="R685" s="465">
        <v>494704</v>
      </c>
      <c r="S685" s="465"/>
      <c r="T685" s="466" t="s">
        <v>47</v>
      </c>
      <c r="U685" s="466"/>
      <c r="V685" s="466"/>
      <c r="W685" s="466">
        <v>3406</v>
      </c>
      <c r="X685" s="466">
        <v>560</v>
      </c>
      <c r="Y685" s="466"/>
      <c r="Z685" s="83" t="s">
        <v>48</v>
      </c>
      <c r="AA685" s="294"/>
      <c r="AB685" s="83"/>
      <c r="AC685" s="83"/>
      <c r="AD685" s="83"/>
      <c r="AE685" s="181"/>
      <c r="AF685" s="181"/>
      <c r="AG685" s="247">
        <v>42571</v>
      </c>
      <c r="AH685" s="181"/>
      <c r="AI685" s="132">
        <f t="shared" si="226"/>
        <v>498670</v>
      </c>
      <c r="AJ685" s="132">
        <f t="shared" si="227"/>
        <v>498670</v>
      </c>
      <c r="AK685" s="132">
        <f t="shared" si="228"/>
        <v>0</v>
      </c>
      <c r="AL685" s="176" t="s">
        <v>2474</v>
      </c>
      <c r="AM685" s="115" t="s">
        <v>974</v>
      </c>
      <c r="AN685" s="246">
        <v>44868</v>
      </c>
      <c r="AO685" s="259"/>
      <c r="AP685" s="202"/>
      <c r="AQ685" s="202"/>
      <c r="AR685" s="202"/>
    </row>
    <row r="686" s="422" customFormat="1" customHeight="1" spans="1:44">
      <c r="A686" s="106" t="s">
        <v>2475</v>
      </c>
      <c r="B686" s="115" t="s">
        <v>2476</v>
      </c>
      <c r="C686" s="403" t="s">
        <v>2477</v>
      </c>
      <c r="D686" s="193" t="str">
        <f t="shared" si="219"/>
        <v>张建莉410106197309060522</v>
      </c>
      <c r="E686" s="155">
        <v>18239937999</v>
      </c>
      <c r="F686" s="115"/>
      <c r="G686" s="239">
        <v>9</v>
      </c>
      <c r="H686" s="115">
        <v>3</v>
      </c>
      <c r="I686" s="115">
        <v>22</v>
      </c>
      <c r="J686" s="115">
        <v>2204</v>
      </c>
      <c r="K686" s="115">
        <v>94.65</v>
      </c>
      <c r="L686" s="115">
        <v>8766</v>
      </c>
      <c r="M686" s="115"/>
      <c r="N686" s="115"/>
      <c r="O686" s="431">
        <v>8665.61</v>
      </c>
      <c r="P686" s="239">
        <v>820200</v>
      </c>
      <c r="Q686" s="464" t="s">
        <v>66</v>
      </c>
      <c r="R686" s="464">
        <v>670200</v>
      </c>
      <c r="S686" s="464"/>
      <c r="T686" s="464" t="s">
        <v>47</v>
      </c>
      <c r="U686" s="464"/>
      <c r="V686" s="464">
        <v>150000</v>
      </c>
      <c r="W686" s="83">
        <v>6152</v>
      </c>
      <c r="X686" s="83">
        <v>80</v>
      </c>
      <c r="Y686" s="83"/>
      <c r="Z686" s="83" t="s">
        <v>48</v>
      </c>
      <c r="AA686" s="294"/>
      <c r="AB686" s="83"/>
      <c r="AC686" s="83"/>
      <c r="AD686" s="83"/>
      <c r="AE686" s="181"/>
      <c r="AF686" s="181"/>
      <c r="AG686" s="247">
        <v>44080</v>
      </c>
      <c r="AH686" s="181"/>
      <c r="AI686" s="132">
        <f t="shared" si="226"/>
        <v>826432</v>
      </c>
      <c r="AJ686" s="132">
        <f t="shared" si="227"/>
        <v>826432</v>
      </c>
      <c r="AK686" s="132">
        <f t="shared" si="228"/>
        <v>0</v>
      </c>
      <c r="AL686" s="176"/>
      <c r="AM686" s="115" t="s">
        <v>974</v>
      </c>
      <c r="AN686" s="246">
        <v>44868</v>
      </c>
      <c r="AO686" s="259"/>
      <c r="AP686" s="202"/>
      <c r="AQ686" s="202"/>
      <c r="AR686" s="202"/>
    </row>
    <row r="687" s="422" customFormat="1" customHeight="1" spans="1:44">
      <c r="A687" s="106" t="s">
        <v>2478</v>
      </c>
      <c r="B687" s="106" t="s">
        <v>2479</v>
      </c>
      <c r="C687" s="167"/>
      <c r="D687" s="193" t="str">
        <f t="shared" si="219"/>
        <v>桑永华</v>
      </c>
      <c r="E687" s="107">
        <v>18603825012</v>
      </c>
      <c r="F687" s="106"/>
      <c r="G687" s="109">
        <v>9</v>
      </c>
      <c r="H687" s="106">
        <v>3</v>
      </c>
      <c r="I687" s="106">
        <v>32</v>
      </c>
      <c r="J687" s="106">
        <v>3203</v>
      </c>
      <c r="K687" s="106">
        <v>99.56</v>
      </c>
      <c r="L687" s="106">
        <v>9600</v>
      </c>
      <c r="M687" s="106"/>
      <c r="N687" s="106"/>
      <c r="O687" s="455">
        <v>9500</v>
      </c>
      <c r="P687" s="110">
        <v>945820</v>
      </c>
      <c r="Q687" s="110" t="s">
        <v>56</v>
      </c>
      <c r="R687" s="110">
        <v>987050</v>
      </c>
      <c r="S687" s="110">
        <v>-41230</v>
      </c>
      <c r="T687" s="110" t="s">
        <v>47</v>
      </c>
      <c r="U687" s="526"/>
      <c r="V687" s="106"/>
      <c r="W687" s="106"/>
      <c r="X687" s="106"/>
      <c r="Y687" s="106"/>
      <c r="Z687" s="106"/>
      <c r="AA687" s="290"/>
      <c r="AB687" s="106"/>
      <c r="AC687" s="106"/>
      <c r="AD687" s="106"/>
      <c r="AE687" s="181"/>
      <c r="AF687" s="181"/>
      <c r="AG687" s="247">
        <v>42467</v>
      </c>
      <c r="AH687" s="181"/>
      <c r="AI687" s="132">
        <f t="shared" si="226"/>
        <v>987050</v>
      </c>
      <c r="AJ687" s="132">
        <f t="shared" si="227"/>
        <v>987050</v>
      </c>
      <c r="AK687" s="132">
        <f t="shared" si="228"/>
        <v>0</v>
      </c>
      <c r="AL687" s="176"/>
      <c r="AM687" s="115" t="s">
        <v>974</v>
      </c>
      <c r="AN687" s="246">
        <v>44868</v>
      </c>
      <c r="AO687" s="259"/>
      <c r="AP687" s="96"/>
      <c r="AQ687" s="96"/>
      <c r="AR687" s="96"/>
    </row>
    <row r="688" s="422" customFormat="1" customHeight="1" spans="1:44">
      <c r="A688" s="115" t="s">
        <v>2480</v>
      </c>
      <c r="B688" s="106" t="s">
        <v>2481</v>
      </c>
      <c r="C688" s="459" t="s">
        <v>2482</v>
      </c>
      <c r="D688" s="193" t="str">
        <f t="shared" si="219"/>
        <v>仝新朵411322198302115726</v>
      </c>
      <c r="E688" s="106">
        <v>18339903815</v>
      </c>
      <c r="F688" s="453"/>
      <c r="G688" s="106">
        <v>10</v>
      </c>
      <c r="H688" s="106">
        <v>2</v>
      </c>
      <c r="I688" s="106">
        <v>27</v>
      </c>
      <c r="J688" s="106">
        <v>2706</v>
      </c>
      <c r="K688" s="106">
        <v>99.52</v>
      </c>
      <c r="L688" s="106">
        <v>9100</v>
      </c>
      <c r="M688" s="120"/>
      <c r="N688" s="120"/>
      <c r="O688" s="455">
        <v>9000</v>
      </c>
      <c r="P688" s="106">
        <v>895680</v>
      </c>
      <c r="Q688" s="106" t="s">
        <v>66</v>
      </c>
      <c r="R688" s="106">
        <v>495680</v>
      </c>
      <c r="S688" s="106"/>
      <c r="T688" s="106">
        <v>400000</v>
      </c>
      <c r="U688" s="106"/>
      <c r="V688" s="129"/>
      <c r="W688" s="129">
        <v>6468</v>
      </c>
      <c r="X688" s="129">
        <v>80</v>
      </c>
      <c r="Y688" s="106"/>
      <c r="Z688" s="106"/>
      <c r="AA688" s="129"/>
      <c r="AB688" s="106">
        <v>1120</v>
      </c>
      <c r="AC688" s="106"/>
      <c r="AD688" s="106"/>
      <c r="AE688" s="106"/>
      <c r="AF688" s="453"/>
      <c r="AG688" s="290" t="s">
        <v>2483</v>
      </c>
      <c r="AH688" s="129">
        <f>AJ688</f>
        <v>502228</v>
      </c>
      <c r="AI688" s="132">
        <f t="shared" si="226"/>
        <v>503348</v>
      </c>
      <c r="AJ688" s="132">
        <f t="shared" si="227"/>
        <v>502228</v>
      </c>
      <c r="AK688" s="132">
        <f t="shared" si="228"/>
        <v>1120</v>
      </c>
      <c r="AL688" s="350"/>
      <c r="AM688" s="133" t="s">
        <v>886</v>
      </c>
      <c r="AN688" s="246">
        <v>44867</v>
      </c>
      <c r="AO688" s="259"/>
      <c r="AP688" s="93"/>
      <c r="AQ688" s="93"/>
      <c r="AR688" s="93"/>
    </row>
    <row r="689" s="422" customFormat="1" customHeight="1" spans="1:44">
      <c r="A689" s="115" t="s">
        <v>2484</v>
      </c>
      <c r="B689" s="106" t="s">
        <v>2485</v>
      </c>
      <c r="C689" s="459" t="s">
        <v>2486</v>
      </c>
      <c r="D689" s="193" t="str">
        <f t="shared" si="219"/>
        <v>任业珍4103022196311150044</v>
      </c>
      <c r="E689" s="106">
        <v>13839737739</v>
      </c>
      <c r="F689" s="453"/>
      <c r="G689" s="106">
        <v>11</v>
      </c>
      <c r="H689" s="106">
        <v>3</v>
      </c>
      <c r="I689" s="106">
        <v>23</v>
      </c>
      <c r="J689" s="106">
        <v>2301</v>
      </c>
      <c r="K689" s="106">
        <v>149.28</v>
      </c>
      <c r="L689" s="106">
        <v>9038</v>
      </c>
      <c r="M689" s="120"/>
      <c r="N689" s="120"/>
      <c r="O689" s="455">
        <v>8938.405164</v>
      </c>
      <c r="P689" s="106">
        <v>1334325</v>
      </c>
      <c r="Q689" s="106" t="s">
        <v>66</v>
      </c>
      <c r="R689" s="106">
        <v>404325</v>
      </c>
      <c r="S689" s="106"/>
      <c r="T689" s="106" t="s">
        <v>47</v>
      </c>
      <c r="U689" s="106"/>
      <c r="V689" s="129">
        <v>930000</v>
      </c>
      <c r="W689" s="129">
        <v>9703</v>
      </c>
      <c r="X689" s="129">
        <v>80</v>
      </c>
      <c r="Y689" s="106"/>
      <c r="Z689" s="106" t="s">
        <v>48</v>
      </c>
      <c r="AA689" s="129"/>
      <c r="AB689" s="106"/>
      <c r="AC689" s="106"/>
      <c r="AD689" s="106"/>
      <c r="AE689" s="106"/>
      <c r="AF689" s="453"/>
      <c r="AG689" s="290"/>
      <c r="AH689" s="129"/>
      <c r="AI689" s="132">
        <f t="shared" si="226"/>
        <v>1344108</v>
      </c>
      <c r="AJ689" s="132">
        <f t="shared" si="227"/>
        <v>1344108</v>
      </c>
      <c r="AK689" s="132">
        <f t="shared" si="228"/>
        <v>0</v>
      </c>
      <c r="AL689" s="350" t="s">
        <v>2487</v>
      </c>
      <c r="AM689" s="133" t="s">
        <v>886</v>
      </c>
      <c r="AN689" s="246">
        <v>44867</v>
      </c>
      <c r="AO689" s="259"/>
      <c r="AP689" s="93"/>
      <c r="AQ689" s="93"/>
      <c r="AR689" s="93"/>
    </row>
    <row r="690" s="422" customFormat="1" customHeight="1" spans="1:44">
      <c r="A690" s="115" t="s">
        <v>2488</v>
      </c>
      <c r="B690" s="106" t="s">
        <v>2489</v>
      </c>
      <c r="C690" s="459" t="s">
        <v>2490</v>
      </c>
      <c r="D690" s="193" t="str">
        <f t="shared" si="219"/>
        <v>李书文412926195907050027</v>
      </c>
      <c r="E690" s="106">
        <v>15517179685</v>
      </c>
      <c r="F690" s="453"/>
      <c r="G690" s="106">
        <v>3</v>
      </c>
      <c r="H690" s="106">
        <v>19</v>
      </c>
      <c r="I690" s="106"/>
      <c r="J690" s="106">
        <v>1931</v>
      </c>
      <c r="K690" s="106">
        <v>56.44</v>
      </c>
      <c r="L690" s="106">
        <v>20000</v>
      </c>
      <c r="M690" s="120"/>
      <c r="N690" s="120"/>
      <c r="O690" s="455">
        <v>12000</v>
      </c>
      <c r="P690" s="106">
        <v>677280</v>
      </c>
      <c r="Q690" s="106" t="s">
        <v>56</v>
      </c>
      <c r="R690" s="106">
        <v>677280</v>
      </c>
      <c r="S690" s="106"/>
      <c r="T690" s="106" t="s">
        <v>47</v>
      </c>
      <c r="U690" s="106"/>
      <c r="V690" s="129"/>
      <c r="W690" s="129">
        <v>3668</v>
      </c>
      <c r="X690" s="129">
        <v>550</v>
      </c>
      <c r="Y690" s="106"/>
      <c r="Z690" s="106" t="s">
        <v>48</v>
      </c>
      <c r="AA690" s="129"/>
      <c r="AB690" s="106"/>
      <c r="AC690" s="106"/>
      <c r="AD690" s="106"/>
      <c r="AE690" s="106"/>
      <c r="AF690" s="453"/>
      <c r="AG690" s="290">
        <v>43978</v>
      </c>
      <c r="AH690" s="129"/>
      <c r="AI690" s="132">
        <f t="shared" si="226"/>
        <v>681498</v>
      </c>
      <c r="AJ690" s="132">
        <f t="shared" si="227"/>
        <v>681498</v>
      </c>
      <c r="AK690" s="132">
        <f t="shared" si="228"/>
        <v>0</v>
      </c>
      <c r="AL690" s="350"/>
      <c r="AM690" s="133" t="s">
        <v>886</v>
      </c>
      <c r="AN690" s="246">
        <v>44868</v>
      </c>
      <c r="AO690" s="259"/>
      <c r="AP690" s="93"/>
      <c r="AQ690" s="93"/>
      <c r="AR690" s="93"/>
    </row>
    <row r="691" s="422" customFormat="1" customHeight="1" spans="1:44">
      <c r="A691" s="115" t="s">
        <v>2491</v>
      </c>
      <c r="B691" s="106" t="s">
        <v>2492</v>
      </c>
      <c r="C691" s="459" t="s">
        <v>2493</v>
      </c>
      <c r="D691" s="193" t="str">
        <f t="shared" si="219"/>
        <v>马芳410105198006306140</v>
      </c>
      <c r="E691" s="106">
        <v>15903666298</v>
      </c>
      <c r="F691" s="453"/>
      <c r="G691" s="106">
        <v>6</v>
      </c>
      <c r="H691" s="106">
        <v>1</v>
      </c>
      <c r="I691" s="106">
        <v>26</v>
      </c>
      <c r="J691" s="106">
        <v>2607</v>
      </c>
      <c r="K691" s="106">
        <v>86.33</v>
      </c>
      <c r="L691" s="106">
        <v>17900</v>
      </c>
      <c r="M691" s="120"/>
      <c r="N691" s="120"/>
      <c r="O691" s="455">
        <v>15000</v>
      </c>
      <c r="P691" s="106">
        <v>1294950</v>
      </c>
      <c r="Q691" s="106" t="s">
        <v>56</v>
      </c>
      <c r="R691" s="106">
        <v>1294950</v>
      </c>
      <c r="S691" s="106"/>
      <c r="T691" s="106" t="s">
        <v>47</v>
      </c>
      <c r="U691" s="92"/>
      <c r="V691" s="129"/>
      <c r="W691" s="129">
        <v>5611</v>
      </c>
      <c r="X691" s="129">
        <v>80</v>
      </c>
      <c r="Y691" s="106"/>
      <c r="Z691" s="106" t="s">
        <v>48</v>
      </c>
      <c r="AA691" s="129"/>
      <c r="AB691" s="106"/>
      <c r="AC691" s="106"/>
      <c r="AD691" s="106"/>
      <c r="AE691" s="106"/>
      <c r="AF691" s="453"/>
      <c r="AG691" s="290">
        <v>43122</v>
      </c>
      <c r="AH691" s="129">
        <f>AJ691</f>
        <v>1300641</v>
      </c>
      <c r="AI691" s="132">
        <f t="shared" si="226"/>
        <v>1300641</v>
      </c>
      <c r="AJ691" s="132">
        <f t="shared" si="227"/>
        <v>1300641</v>
      </c>
      <c r="AK691" s="132">
        <f t="shared" si="228"/>
        <v>0</v>
      </c>
      <c r="AL691" s="350"/>
      <c r="AM691" s="133" t="s">
        <v>886</v>
      </c>
      <c r="AN691" s="246">
        <v>44868</v>
      </c>
      <c r="AO691" s="259"/>
      <c r="AP691" s="93"/>
      <c r="AQ691" s="93"/>
      <c r="AR691" s="93"/>
    </row>
    <row r="692" s="422" customFormat="1" customHeight="1" spans="1:44">
      <c r="A692" s="115" t="s">
        <v>2494</v>
      </c>
      <c r="B692" s="106" t="s">
        <v>2495</v>
      </c>
      <c r="C692" s="459" t="s">
        <v>2496</v>
      </c>
      <c r="D692" s="193" t="str">
        <f t="shared" si="219"/>
        <v>崔孝美512225196408266783</v>
      </c>
      <c r="E692" s="106">
        <v>15188399821</v>
      </c>
      <c r="F692" s="453" t="s">
        <v>2497</v>
      </c>
      <c r="G692" s="106">
        <v>3</v>
      </c>
      <c r="H692" s="106">
        <v>17</v>
      </c>
      <c r="I692" s="106"/>
      <c r="J692" s="106">
        <v>1706</v>
      </c>
      <c r="K692" s="106">
        <v>61.66</v>
      </c>
      <c r="L692" s="106">
        <v>20000</v>
      </c>
      <c r="M692" s="120"/>
      <c r="N692" s="120"/>
      <c r="O692" s="455">
        <v>12806.8999028183</v>
      </c>
      <c r="P692" s="106">
        <v>789673</v>
      </c>
      <c r="Q692" s="106" t="s">
        <v>56</v>
      </c>
      <c r="R692" s="106">
        <v>789673</v>
      </c>
      <c r="S692" s="106"/>
      <c r="T692" s="106" t="s">
        <v>47</v>
      </c>
      <c r="U692" s="106"/>
      <c r="V692" s="129"/>
      <c r="W692" s="129">
        <v>4007</v>
      </c>
      <c r="X692" s="129">
        <v>550</v>
      </c>
      <c r="Y692" s="106"/>
      <c r="Z692" s="106" t="s">
        <v>48</v>
      </c>
      <c r="AA692" s="129"/>
      <c r="AB692" s="106"/>
      <c r="AC692" s="106"/>
      <c r="AD692" s="106"/>
      <c r="AE692" s="106"/>
      <c r="AF692" s="453"/>
      <c r="AG692" s="290">
        <v>43976</v>
      </c>
      <c r="AH692" s="129"/>
      <c r="AI692" s="132">
        <f t="shared" si="226"/>
        <v>794230</v>
      </c>
      <c r="AJ692" s="132">
        <f t="shared" si="227"/>
        <v>794230</v>
      </c>
      <c r="AK692" s="132">
        <f t="shared" si="228"/>
        <v>0</v>
      </c>
      <c r="AL692" s="350"/>
      <c r="AM692" s="133" t="s">
        <v>886</v>
      </c>
      <c r="AN692" s="246">
        <v>44868</v>
      </c>
      <c r="AO692" s="259"/>
      <c r="AP692" s="93"/>
      <c r="AQ692" s="93"/>
      <c r="AR692" s="93"/>
    </row>
    <row r="693" s="422" customFormat="1" customHeight="1" spans="1:44">
      <c r="A693" s="115" t="s">
        <v>2498</v>
      </c>
      <c r="B693" s="106" t="s">
        <v>2499</v>
      </c>
      <c r="C693" s="459" t="s">
        <v>2500</v>
      </c>
      <c r="D693" s="193" t="str">
        <f t="shared" si="219"/>
        <v>刘瑜410502197608181021</v>
      </c>
      <c r="E693" s="106" t="s">
        <v>2501</v>
      </c>
      <c r="F693" s="453"/>
      <c r="G693" s="106">
        <v>2</v>
      </c>
      <c r="H693" s="106">
        <v>24</v>
      </c>
      <c r="I693" s="106"/>
      <c r="J693" s="106">
        <v>2413</v>
      </c>
      <c r="K693" s="106">
        <v>47.97</v>
      </c>
      <c r="L693" s="106">
        <v>30000</v>
      </c>
      <c r="M693" s="120"/>
      <c r="N693" s="120"/>
      <c r="O693" s="455">
        <v>14844.88</v>
      </c>
      <c r="P693" s="106">
        <v>712109</v>
      </c>
      <c r="Q693" s="106" t="s">
        <v>66</v>
      </c>
      <c r="R693" s="106">
        <v>257109</v>
      </c>
      <c r="S693" s="106"/>
      <c r="T693" s="106">
        <v>455000</v>
      </c>
      <c r="U693" s="106"/>
      <c r="V693" s="129"/>
      <c r="W693" s="129">
        <v>3118</v>
      </c>
      <c r="X693" s="129">
        <v>550</v>
      </c>
      <c r="Y693" s="106"/>
      <c r="Z693" s="106"/>
      <c r="AA693" s="129"/>
      <c r="AB693" s="106"/>
      <c r="AC693" s="106"/>
      <c r="AD693" s="106"/>
      <c r="AE693" s="106"/>
      <c r="AF693" s="453"/>
      <c r="AG693" s="290">
        <v>43274</v>
      </c>
      <c r="AH693" s="129">
        <f>AJ693</f>
        <v>260777</v>
      </c>
      <c r="AI693" s="132">
        <f t="shared" si="226"/>
        <v>260777</v>
      </c>
      <c r="AJ693" s="132">
        <f t="shared" si="227"/>
        <v>260777</v>
      </c>
      <c r="AK693" s="132">
        <f t="shared" si="228"/>
        <v>0</v>
      </c>
      <c r="AL693" s="350"/>
      <c r="AM693" s="133" t="s">
        <v>886</v>
      </c>
      <c r="AN693" s="246">
        <v>44865</v>
      </c>
      <c r="AO693" s="259"/>
      <c r="AP693" s="93"/>
      <c r="AQ693" s="93"/>
      <c r="AR693" s="93"/>
    </row>
    <row r="694" s="422" customFormat="1" customHeight="1" spans="1:44">
      <c r="A694" s="115" t="s">
        <v>2502</v>
      </c>
      <c r="B694" s="106" t="s">
        <v>2503</v>
      </c>
      <c r="C694" s="459" t="s">
        <v>2504</v>
      </c>
      <c r="D694" s="193" t="str">
        <f t="shared" si="219"/>
        <v>柯涛412823197401200010</v>
      </c>
      <c r="E694" s="106">
        <v>18838217009</v>
      </c>
      <c r="F694" s="453"/>
      <c r="G694" s="106">
        <v>3</v>
      </c>
      <c r="H694" s="106">
        <v>16</v>
      </c>
      <c r="I694" s="106"/>
      <c r="J694" s="106">
        <v>1631</v>
      </c>
      <c r="K694" s="106">
        <v>56.44</v>
      </c>
      <c r="L694" s="106">
        <v>20000</v>
      </c>
      <c r="M694" s="120"/>
      <c r="N694" s="120"/>
      <c r="O694" s="455">
        <v>12478.69</v>
      </c>
      <c r="P694" s="106">
        <v>704297</v>
      </c>
      <c r="Q694" s="106" t="s">
        <v>66</v>
      </c>
      <c r="R694" s="106">
        <v>354297</v>
      </c>
      <c r="S694" s="106"/>
      <c r="T694" s="106" t="s">
        <v>47</v>
      </c>
      <c r="U694" s="92"/>
      <c r="V694" s="129">
        <v>350000</v>
      </c>
      <c r="W694" s="129">
        <v>3669</v>
      </c>
      <c r="X694" s="129">
        <v>550</v>
      </c>
      <c r="Y694" s="106"/>
      <c r="Z694" s="106" t="s">
        <v>48</v>
      </c>
      <c r="AA694" s="129"/>
      <c r="AB694" s="106">
        <f>2135-550</f>
        <v>1585</v>
      </c>
      <c r="AC694" s="106"/>
      <c r="AD694" s="106">
        <v>-350000</v>
      </c>
      <c r="AE694" s="106"/>
      <c r="AF694" s="453"/>
      <c r="AG694" s="290">
        <v>43066</v>
      </c>
      <c r="AH694" s="129">
        <f>AJ694</f>
        <v>708516</v>
      </c>
      <c r="AI694" s="132">
        <f t="shared" si="226"/>
        <v>360101</v>
      </c>
      <c r="AJ694" s="132">
        <f t="shared" si="227"/>
        <v>708516</v>
      </c>
      <c r="AK694" s="132">
        <f t="shared" si="228"/>
        <v>-348415</v>
      </c>
      <c r="AL694" s="350" t="s">
        <v>2505</v>
      </c>
      <c r="AM694" s="133" t="s">
        <v>886</v>
      </c>
      <c r="AN694" s="246">
        <v>44865</v>
      </c>
      <c r="AO694" s="259"/>
      <c r="AP694" s="93"/>
      <c r="AQ694" s="93"/>
      <c r="AR694" s="93"/>
    </row>
    <row r="695" s="422" customFormat="1" customHeight="1" spans="1:44">
      <c r="A695" s="115" t="s">
        <v>2506</v>
      </c>
      <c r="B695" s="106" t="s">
        <v>2507</v>
      </c>
      <c r="C695" s="553" t="s">
        <v>2508</v>
      </c>
      <c r="D695" s="193" t="str">
        <f t="shared" si="219"/>
        <v>袁建慧411322198211204600</v>
      </c>
      <c r="E695" s="106">
        <v>15936266662</v>
      </c>
      <c r="F695" s="453" t="s">
        <v>2509</v>
      </c>
      <c r="G695" s="106">
        <v>10</v>
      </c>
      <c r="H695" s="106">
        <v>2</v>
      </c>
      <c r="I695" s="106">
        <v>31</v>
      </c>
      <c r="J695" s="106">
        <v>3107</v>
      </c>
      <c r="K695" s="106">
        <v>99.52</v>
      </c>
      <c r="L695" s="106">
        <v>19750</v>
      </c>
      <c r="M695" s="120"/>
      <c r="N695" s="120"/>
      <c r="O695" s="455">
        <v>10048.23</v>
      </c>
      <c r="P695" s="106">
        <v>1000000</v>
      </c>
      <c r="Q695" s="106" t="s">
        <v>56</v>
      </c>
      <c r="R695" s="106">
        <v>1000000</v>
      </c>
      <c r="S695" s="106"/>
      <c r="T695" s="106" t="s">
        <v>47</v>
      </c>
      <c r="U695" s="92"/>
      <c r="V695" s="129"/>
      <c r="W695" s="129">
        <v>6468</v>
      </c>
      <c r="X695" s="129">
        <v>80</v>
      </c>
      <c r="Y695" s="106"/>
      <c r="Z695" s="106" t="s">
        <v>48</v>
      </c>
      <c r="AA695" s="129"/>
      <c r="AB695" s="106"/>
      <c r="AC695" s="106"/>
      <c r="AD695" s="106"/>
      <c r="AE695" s="106"/>
      <c r="AF695" s="453"/>
      <c r="AG695" s="290">
        <v>43417</v>
      </c>
      <c r="AH695" s="129"/>
      <c r="AI695" s="132">
        <f t="shared" si="226"/>
        <v>1006548</v>
      </c>
      <c r="AJ695" s="132">
        <f t="shared" si="227"/>
        <v>1006548</v>
      </c>
      <c r="AK695" s="132">
        <f t="shared" si="228"/>
        <v>0</v>
      </c>
      <c r="AL695" s="350"/>
      <c r="AM695" s="133" t="s">
        <v>886</v>
      </c>
      <c r="AN695" s="246">
        <v>44866</v>
      </c>
      <c r="AO695" s="259"/>
      <c r="AP695" s="93"/>
      <c r="AQ695" s="93"/>
      <c r="AR695" s="93"/>
    </row>
    <row r="696" s="422" customFormat="1" customHeight="1" spans="1:44">
      <c r="A696" s="115" t="s">
        <v>2510</v>
      </c>
      <c r="B696" s="106" t="s">
        <v>2511</v>
      </c>
      <c r="C696" s="553" t="s">
        <v>2512</v>
      </c>
      <c r="D696" s="193" t="str">
        <f t="shared" si="219"/>
        <v>崔逢一410821198904110041</v>
      </c>
      <c r="E696" s="106">
        <v>13203813232</v>
      </c>
      <c r="F696" s="453"/>
      <c r="G696" s="106">
        <v>3</v>
      </c>
      <c r="H696" s="106">
        <v>13</v>
      </c>
      <c r="I696" s="106"/>
      <c r="J696" s="106">
        <v>1326</v>
      </c>
      <c r="K696" s="106">
        <v>56.59</v>
      </c>
      <c r="L696" s="106">
        <v>20000</v>
      </c>
      <c r="M696" s="120"/>
      <c r="N696" s="120"/>
      <c r="O696" s="455">
        <v>9694.5566286216</v>
      </c>
      <c r="P696" s="106">
        <v>548615</v>
      </c>
      <c r="Q696" s="106" t="s">
        <v>66</v>
      </c>
      <c r="R696" s="106">
        <v>274615</v>
      </c>
      <c r="S696" s="106"/>
      <c r="T696" s="106">
        <v>274000</v>
      </c>
      <c r="U696" s="106"/>
      <c r="V696" s="129"/>
      <c r="W696" s="129">
        <v>3678</v>
      </c>
      <c r="X696" s="129">
        <v>550</v>
      </c>
      <c r="Y696" s="106"/>
      <c r="Z696" s="106"/>
      <c r="AA696" s="129"/>
      <c r="AB696" s="106">
        <f>20000+3000</f>
        <v>23000</v>
      </c>
      <c r="AC696" s="106"/>
      <c r="AD696" s="106"/>
      <c r="AE696" s="106"/>
      <c r="AF696" s="453"/>
      <c r="AG696" s="290">
        <v>43816</v>
      </c>
      <c r="AH696" s="129"/>
      <c r="AI696" s="132">
        <f t="shared" si="226"/>
        <v>301843</v>
      </c>
      <c r="AJ696" s="132">
        <f t="shared" si="227"/>
        <v>278843</v>
      </c>
      <c r="AK696" s="132">
        <f t="shared" si="228"/>
        <v>23000</v>
      </c>
      <c r="AL696" s="350" t="s">
        <v>2513</v>
      </c>
      <c r="AM696" s="133" t="s">
        <v>886</v>
      </c>
      <c r="AN696" s="246">
        <v>44866</v>
      </c>
      <c r="AO696" s="259"/>
      <c r="AP696" s="93"/>
      <c r="AQ696" s="93"/>
      <c r="AR696" s="93"/>
    </row>
    <row r="697" s="422" customFormat="1" customHeight="1" spans="1:44">
      <c r="A697" s="115" t="s">
        <v>2514</v>
      </c>
      <c r="B697" s="106" t="s">
        <v>2515</v>
      </c>
      <c r="C697" s="175" t="s">
        <v>2516</v>
      </c>
      <c r="D697" s="193" t="str">
        <f t="shared" si="219"/>
        <v>申江丽412824198610043526</v>
      </c>
      <c r="E697" s="106" t="s">
        <v>2517</v>
      </c>
      <c r="F697" s="453"/>
      <c r="G697" s="106">
        <v>3</v>
      </c>
      <c r="H697" s="106">
        <v>16</v>
      </c>
      <c r="I697" s="106"/>
      <c r="J697" s="106">
        <v>1603</v>
      </c>
      <c r="K697" s="106">
        <v>52.4</v>
      </c>
      <c r="L697" s="106">
        <v>20000</v>
      </c>
      <c r="M697" s="120"/>
      <c r="N697" s="120"/>
      <c r="O697" s="455">
        <v>13592</v>
      </c>
      <c r="P697" s="106">
        <v>712221</v>
      </c>
      <c r="Q697" s="106" t="s">
        <v>66</v>
      </c>
      <c r="R697" s="106">
        <v>356900</v>
      </c>
      <c r="S697" s="106"/>
      <c r="T697" s="106">
        <v>355321</v>
      </c>
      <c r="U697" s="106"/>
      <c r="V697" s="129"/>
      <c r="W697" s="129"/>
      <c r="X697" s="129"/>
      <c r="Y697" s="106"/>
      <c r="Z697" s="106"/>
      <c r="AA697" s="129"/>
      <c r="AB697" s="106"/>
      <c r="AC697" s="106"/>
      <c r="AD697" s="106"/>
      <c r="AE697" s="106"/>
      <c r="AF697" s="453" t="s">
        <v>2518</v>
      </c>
      <c r="AG697" s="290">
        <v>42711</v>
      </c>
      <c r="AH697" s="129"/>
      <c r="AI697" s="132">
        <f t="shared" si="226"/>
        <v>356900</v>
      </c>
      <c r="AJ697" s="132">
        <f t="shared" si="227"/>
        <v>356900</v>
      </c>
      <c r="AK697" s="132">
        <f t="shared" si="228"/>
        <v>0</v>
      </c>
      <c r="AL697" s="350"/>
      <c r="AM697" s="133" t="s">
        <v>886</v>
      </c>
      <c r="AN697" s="246">
        <v>44866</v>
      </c>
      <c r="AO697" s="259"/>
      <c r="AP697" s="93"/>
      <c r="AQ697" s="93"/>
      <c r="AR697" s="93"/>
    </row>
    <row r="698" s="422" customFormat="1" customHeight="1" spans="1:44">
      <c r="A698" s="115" t="s">
        <v>2519</v>
      </c>
      <c r="B698" s="106" t="s">
        <v>2520</v>
      </c>
      <c r="C698" s="459" t="s">
        <v>2521</v>
      </c>
      <c r="D698" s="193" t="str">
        <f t="shared" si="219"/>
        <v>张改风410126196210220742</v>
      </c>
      <c r="E698" s="106">
        <v>13203711676</v>
      </c>
      <c r="F698" s="453"/>
      <c r="G698" s="106">
        <v>3</v>
      </c>
      <c r="H698" s="106">
        <v>15</v>
      </c>
      <c r="I698" s="106"/>
      <c r="J698" s="106">
        <v>1530</v>
      </c>
      <c r="K698" s="106">
        <v>57.33</v>
      </c>
      <c r="L698" s="106">
        <v>20000</v>
      </c>
      <c r="M698" s="120"/>
      <c r="N698" s="120"/>
      <c r="O698" s="455">
        <v>11721.52</v>
      </c>
      <c r="P698" s="106">
        <v>671995</v>
      </c>
      <c r="Q698" s="106" t="s">
        <v>66</v>
      </c>
      <c r="R698" s="106">
        <v>341995</v>
      </c>
      <c r="S698" s="106"/>
      <c r="T698" s="106">
        <v>330000</v>
      </c>
      <c r="U698" s="106"/>
      <c r="V698" s="129"/>
      <c r="W698" s="129">
        <v>3726</v>
      </c>
      <c r="X698" s="129">
        <v>550</v>
      </c>
      <c r="Y698" s="106"/>
      <c r="Z698" s="106"/>
      <c r="AA698" s="129"/>
      <c r="AB698" s="106"/>
      <c r="AC698" s="106"/>
      <c r="AD698" s="106"/>
      <c r="AE698" s="106"/>
      <c r="AF698" s="453"/>
      <c r="AG698" s="290">
        <v>43366</v>
      </c>
      <c r="AH698" s="129">
        <f>AJ698</f>
        <v>346271</v>
      </c>
      <c r="AI698" s="132">
        <f t="shared" si="226"/>
        <v>346271</v>
      </c>
      <c r="AJ698" s="132">
        <f t="shared" si="227"/>
        <v>346271</v>
      </c>
      <c r="AK698" s="132">
        <f t="shared" si="228"/>
        <v>0</v>
      </c>
      <c r="AL698" s="350"/>
      <c r="AM698" s="133" t="s">
        <v>886</v>
      </c>
      <c r="AN698" s="246">
        <v>44866</v>
      </c>
      <c r="AO698" s="259"/>
      <c r="AP698" s="93"/>
      <c r="AQ698" s="93"/>
      <c r="AR698" s="93"/>
    </row>
    <row r="699" s="252" customFormat="1" customHeight="1" spans="1:44">
      <c r="A699" s="115" t="s">
        <v>2522</v>
      </c>
      <c r="B699" s="520" t="s">
        <v>2523</v>
      </c>
      <c r="C699" s="521" t="s">
        <v>2524</v>
      </c>
      <c r="D699" s="193" t="str">
        <f t="shared" si="219"/>
        <v>张长明410182198705040014</v>
      </c>
      <c r="E699" s="522">
        <v>15188345999</v>
      </c>
      <c r="F699" s="142"/>
      <c r="G699" s="142">
        <v>3</v>
      </c>
      <c r="H699" s="142">
        <v>28</v>
      </c>
      <c r="I699" s="142"/>
      <c r="J699" s="142">
        <v>2823</v>
      </c>
      <c r="K699" s="142">
        <v>59.07</v>
      </c>
      <c r="L699" s="523">
        <v>20000</v>
      </c>
      <c r="M699" s="523"/>
      <c r="N699" s="523"/>
      <c r="O699" s="524">
        <v>12000</v>
      </c>
      <c r="P699" s="525">
        <v>708840</v>
      </c>
      <c r="Q699" s="525" t="s">
        <v>66</v>
      </c>
      <c r="R699" s="527">
        <v>359560</v>
      </c>
      <c r="S699" s="527"/>
      <c r="T699" s="525">
        <v>349280</v>
      </c>
      <c r="U699" s="528"/>
      <c r="V699" s="528"/>
      <c r="W699" s="528"/>
      <c r="X699" s="528"/>
      <c r="Y699" s="528"/>
      <c r="Z699" s="142"/>
      <c r="AA699" s="529"/>
      <c r="AB699" s="106"/>
      <c r="AC699" s="106"/>
      <c r="AD699" s="106">
        <v>2500</v>
      </c>
      <c r="AE699" s="106"/>
      <c r="AF699" s="453"/>
      <c r="AG699" s="290">
        <v>42963</v>
      </c>
      <c r="AH699" s="129">
        <f>R699</f>
        <v>359560</v>
      </c>
      <c r="AI699" s="132">
        <f t="shared" si="226"/>
        <v>362060</v>
      </c>
      <c r="AJ699" s="132">
        <f t="shared" si="227"/>
        <v>359560</v>
      </c>
      <c r="AK699" s="132">
        <f t="shared" si="228"/>
        <v>2500</v>
      </c>
      <c r="AL699" s="350" t="s">
        <v>2525</v>
      </c>
      <c r="AM699" s="133" t="s">
        <v>900</v>
      </c>
      <c r="AN699" s="246">
        <v>44887</v>
      </c>
      <c r="AO699" s="259"/>
      <c r="AP699" s="93"/>
      <c r="AQ699" s="93"/>
      <c r="AR699" s="93"/>
    </row>
    <row r="700" s="252" customFormat="1" customHeight="1" spans="1:44">
      <c r="A700" s="115" t="s">
        <v>2526</v>
      </c>
      <c r="B700" s="106" t="s">
        <v>2527</v>
      </c>
      <c r="C700" s="459" t="s">
        <v>2528</v>
      </c>
      <c r="D700" s="193" t="str">
        <f t="shared" si="219"/>
        <v>殷智军410102196912100023</v>
      </c>
      <c r="E700" s="106">
        <v>13653866688</v>
      </c>
      <c r="F700" s="453"/>
      <c r="G700" s="106">
        <v>3</v>
      </c>
      <c r="H700" s="106">
        <v>13</v>
      </c>
      <c r="I700" s="106"/>
      <c r="J700" s="106">
        <v>1330</v>
      </c>
      <c r="K700" s="106">
        <v>57.33</v>
      </c>
      <c r="L700" s="106">
        <v>20000</v>
      </c>
      <c r="M700" s="120"/>
      <c r="N700" s="120"/>
      <c r="O700" s="455">
        <v>14165</v>
      </c>
      <c r="P700" s="106">
        <v>812079</v>
      </c>
      <c r="Q700" s="106" t="s">
        <v>56</v>
      </c>
      <c r="R700" s="106">
        <v>812079</v>
      </c>
      <c r="S700" s="106"/>
      <c r="T700" s="106" t="s">
        <v>47</v>
      </c>
      <c r="U700" s="106"/>
      <c r="V700" s="129">
        <v>0</v>
      </c>
      <c r="W700" s="129">
        <v>3726</v>
      </c>
      <c r="X700" s="129">
        <v>550</v>
      </c>
      <c r="Y700" s="106"/>
      <c r="Z700" s="106" t="s">
        <v>48</v>
      </c>
      <c r="AA700" s="129"/>
      <c r="AB700" s="106"/>
      <c r="AC700" s="106"/>
      <c r="AD700" s="106"/>
      <c r="AE700" s="106"/>
      <c r="AF700" s="453"/>
      <c r="AG700" s="290">
        <v>43842</v>
      </c>
      <c r="AH700" s="129"/>
      <c r="AI700" s="132">
        <f t="shared" ref="AI700:AI713" si="229">R700+V700+W700+X700+AA700+AB700+AC700+AD700</f>
        <v>816355</v>
      </c>
      <c r="AJ700" s="132">
        <f t="shared" ref="AJ700:AJ713" si="230">R700+W700+V700+X700+AA700</f>
        <v>816355</v>
      </c>
      <c r="AK700" s="132">
        <f t="shared" ref="AK700:AK713" si="231">AI700-AJ700</f>
        <v>0</v>
      </c>
      <c r="AL700" s="350"/>
      <c r="AM700" s="133" t="s">
        <v>886</v>
      </c>
      <c r="AN700" s="246">
        <v>44888</v>
      </c>
      <c r="AO700" s="259"/>
      <c r="AP700" s="93"/>
      <c r="AQ700" s="93"/>
      <c r="AR700" s="93"/>
    </row>
    <row r="701" s="422" customFormat="1" customHeight="1" spans="1:44">
      <c r="A701" s="115" t="s">
        <v>2529</v>
      </c>
      <c r="B701" s="106" t="s">
        <v>2530</v>
      </c>
      <c r="C701" s="459" t="s">
        <v>2531</v>
      </c>
      <c r="D701" s="193" t="str">
        <f t="shared" si="219"/>
        <v>魏玉芹410503195606031027</v>
      </c>
      <c r="E701" s="106">
        <v>15188380316</v>
      </c>
      <c r="F701" s="453"/>
      <c r="G701" s="106">
        <v>6</v>
      </c>
      <c r="H701" s="106">
        <v>1</v>
      </c>
      <c r="I701" s="106">
        <v>27</v>
      </c>
      <c r="J701" s="106">
        <v>2707</v>
      </c>
      <c r="K701" s="106">
        <v>86.33</v>
      </c>
      <c r="L701" s="106">
        <v>19461</v>
      </c>
      <c r="M701" s="120"/>
      <c r="N701" s="120"/>
      <c r="O701" s="455">
        <v>14500</v>
      </c>
      <c r="P701" s="106">
        <v>1251785</v>
      </c>
      <c r="Q701" s="106" t="s">
        <v>56</v>
      </c>
      <c r="R701" s="106">
        <v>1251785</v>
      </c>
      <c r="S701" s="106"/>
      <c r="T701" s="106">
        <v>0</v>
      </c>
      <c r="U701" s="106"/>
      <c r="V701" s="129"/>
      <c r="W701" s="129">
        <v>5611</v>
      </c>
      <c r="X701" s="129">
        <v>80</v>
      </c>
      <c r="Y701" s="106"/>
      <c r="Z701" s="106"/>
      <c r="AA701" s="129"/>
      <c r="AB701" s="106"/>
      <c r="AC701" s="106"/>
      <c r="AD701" s="106"/>
      <c r="AE701" s="106"/>
      <c r="AF701" s="453"/>
      <c r="AG701" s="290">
        <v>43141</v>
      </c>
      <c r="AH701" s="129">
        <f>AJ701</f>
        <v>1257476</v>
      </c>
      <c r="AI701" s="132">
        <f t="shared" si="229"/>
        <v>1257476</v>
      </c>
      <c r="AJ701" s="132">
        <f t="shared" si="230"/>
        <v>1257476</v>
      </c>
      <c r="AK701" s="132">
        <f t="shared" si="231"/>
        <v>0</v>
      </c>
      <c r="AL701" s="350"/>
      <c r="AM701" s="133" t="s">
        <v>886</v>
      </c>
      <c r="AN701" s="246">
        <v>44888</v>
      </c>
      <c r="AO701" s="259"/>
      <c r="AP701" s="93"/>
      <c r="AQ701" s="93"/>
      <c r="AR701" s="93"/>
    </row>
    <row r="702" s="422" customFormat="1" customHeight="1" spans="1:44">
      <c r="A702" s="115" t="s">
        <v>2532</v>
      </c>
      <c r="B702" s="106" t="s">
        <v>2533</v>
      </c>
      <c r="C702" s="459" t="s">
        <v>2534</v>
      </c>
      <c r="D702" s="193" t="str">
        <f t="shared" si="219"/>
        <v>刘计拴410522197901132216</v>
      </c>
      <c r="E702" s="106" t="s">
        <v>2535</v>
      </c>
      <c r="F702" s="453"/>
      <c r="G702" s="106">
        <v>3</v>
      </c>
      <c r="H702" s="106">
        <v>20</v>
      </c>
      <c r="I702" s="106"/>
      <c r="J702" s="106">
        <v>2033</v>
      </c>
      <c r="K702" s="106">
        <v>55.05</v>
      </c>
      <c r="L702" s="106">
        <v>30000</v>
      </c>
      <c r="M702" s="120"/>
      <c r="N702" s="120"/>
      <c r="O702" s="455">
        <v>12393.48</v>
      </c>
      <c r="P702" s="106">
        <v>682261</v>
      </c>
      <c r="Q702" s="106" t="s">
        <v>66</v>
      </c>
      <c r="R702" s="106">
        <v>402261</v>
      </c>
      <c r="S702" s="106"/>
      <c r="T702" s="106">
        <v>280000</v>
      </c>
      <c r="U702" s="106"/>
      <c r="V702" s="129"/>
      <c r="W702" s="129">
        <v>3578</v>
      </c>
      <c r="X702" s="129">
        <v>550</v>
      </c>
      <c r="Y702" s="106"/>
      <c r="Z702" s="106" t="s">
        <v>48</v>
      </c>
      <c r="AA702" s="129"/>
      <c r="AB702" s="106"/>
      <c r="AC702" s="106"/>
      <c r="AD702" s="106"/>
      <c r="AE702" s="106"/>
      <c r="AF702" s="453"/>
      <c r="AG702" s="290">
        <v>43094</v>
      </c>
      <c r="AH702" s="129">
        <f>AJ702</f>
        <v>406389</v>
      </c>
      <c r="AI702" s="132">
        <f t="shared" si="229"/>
        <v>406389</v>
      </c>
      <c r="AJ702" s="132">
        <f t="shared" si="230"/>
        <v>406389</v>
      </c>
      <c r="AK702" s="132">
        <f t="shared" si="231"/>
        <v>0</v>
      </c>
      <c r="AL702" s="350"/>
      <c r="AM702" s="133" t="s">
        <v>886</v>
      </c>
      <c r="AN702" s="246">
        <v>44888</v>
      </c>
      <c r="AO702" s="259"/>
      <c r="AP702" s="93"/>
      <c r="AQ702" s="93"/>
      <c r="AR702" s="93"/>
    </row>
    <row r="703" s="422" customFormat="1" customHeight="1" spans="1:44">
      <c r="A703" s="115" t="s">
        <v>2536</v>
      </c>
      <c r="B703" s="106" t="s">
        <v>2537</v>
      </c>
      <c r="C703" s="459" t="s">
        <v>2538</v>
      </c>
      <c r="D703" s="193" t="str">
        <f t="shared" si="219"/>
        <v>李利410303198409253221</v>
      </c>
      <c r="E703" s="106">
        <v>18339989977</v>
      </c>
      <c r="F703" s="453"/>
      <c r="G703" s="106">
        <v>3</v>
      </c>
      <c r="H703" s="106">
        <v>12</v>
      </c>
      <c r="I703" s="106"/>
      <c r="J703" s="106">
        <v>1233</v>
      </c>
      <c r="K703" s="106">
        <v>55.05</v>
      </c>
      <c r="L703" s="106">
        <v>20000</v>
      </c>
      <c r="M703" s="120"/>
      <c r="N703" s="120"/>
      <c r="O703" s="455">
        <v>10001.98</v>
      </c>
      <c r="P703" s="106">
        <v>550609</v>
      </c>
      <c r="Q703" s="106" t="s">
        <v>56</v>
      </c>
      <c r="R703" s="106">
        <v>550609</v>
      </c>
      <c r="S703" s="106"/>
      <c r="T703" s="106" t="s">
        <v>47</v>
      </c>
      <c r="U703" s="106"/>
      <c r="V703" s="129"/>
      <c r="W703" s="129">
        <v>3578</v>
      </c>
      <c r="X703" s="129">
        <v>550</v>
      </c>
      <c r="Y703" s="106"/>
      <c r="Z703" s="106" t="s">
        <v>48</v>
      </c>
      <c r="AA703" s="129"/>
      <c r="AB703" s="106"/>
      <c r="AC703" s="106"/>
      <c r="AD703" s="106"/>
      <c r="AE703" s="106"/>
      <c r="AF703" s="453"/>
      <c r="AG703" s="290">
        <v>43181</v>
      </c>
      <c r="AH703" s="129">
        <f>AJ703</f>
        <v>554737</v>
      </c>
      <c r="AI703" s="132">
        <f t="shared" si="229"/>
        <v>554737</v>
      </c>
      <c r="AJ703" s="132">
        <f t="shared" si="230"/>
        <v>554737</v>
      </c>
      <c r="AK703" s="132">
        <f t="shared" si="231"/>
        <v>0</v>
      </c>
      <c r="AL703" s="350"/>
      <c r="AM703" s="133" t="s">
        <v>886</v>
      </c>
      <c r="AN703" s="246">
        <v>44888</v>
      </c>
      <c r="AO703" s="259"/>
      <c r="AP703" s="93"/>
      <c r="AQ703" s="93"/>
      <c r="AR703" s="93"/>
    </row>
    <row r="704" s="422" customFormat="1" customHeight="1" spans="1:44">
      <c r="A704" s="115" t="s">
        <v>2539</v>
      </c>
      <c r="B704" s="106" t="s">
        <v>2540</v>
      </c>
      <c r="C704" s="459" t="s">
        <v>2541</v>
      </c>
      <c r="D704" s="193" t="str">
        <f t="shared" si="219"/>
        <v>刘新歌410181198007056549</v>
      </c>
      <c r="E704" s="106">
        <v>15538109171</v>
      </c>
      <c r="F704" s="453"/>
      <c r="G704" s="106">
        <v>3</v>
      </c>
      <c r="H704" s="106">
        <v>17</v>
      </c>
      <c r="I704" s="106"/>
      <c r="J704" s="106">
        <v>1723</v>
      </c>
      <c r="K704" s="106">
        <v>59.07</v>
      </c>
      <c r="L704" s="106">
        <v>20000</v>
      </c>
      <c r="M704" s="120"/>
      <c r="N704" s="120"/>
      <c r="O704" s="455">
        <v>13735</v>
      </c>
      <c r="P704" s="106">
        <v>811326</v>
      </c>
      <c r="Q704" s="106" t="s">
        <v>66</v>
      </c>
      <c r="R704" s="106">
        <v>412151</v>
      </c>
      <c r="S704" s="106"/>
      <c r="T704" s="106">
        <v>399175</v>
      </c>
      <c r="U704" s="106"/>
      <c r="V704" s="129"/>
      <c r="W704" s="129"/>
      <c r="X704" s="129"/>
      <c r="Y704" s="106"/>
      <c r="Z704" s="106"/>
      <c r="AA704" s="129"/>
      <c r="AB704" s="106"/>
      <c r="AC704" s="106"/>
      <c r="AD704" s="106"/>
      <c r="AE704" s="106"/>
      <c r="AF704" s="453"/>
      <c r="AG704" s="290">
        <v>42870</v>
      </c>
      <c r="AH704" s="129">
        <f>AJ704</f>
        <v>412151</v>
      </c>
      <c r="AI704" s="132">
        <f t="shared" si="229"/>
        <v>412151</v>
      </c>
      <c r="AJ704" s="132">
        <f t="shared" si="230"/>
        <v>412151</v>
      </c>
      <c r="AK704" s="132">
        <f t="shared" si="231"/>
        <v>0</v>
      </c>
      <c r="AL704" s="350"/>
      <c r="AM704" s="133" t="s">
        <v>886</v>
      </c>
      <c r="AN704" s="246">
        <v>44888</v>
      </c>
      <c r="AO704" s="259"/>
      <c r="AP704" s="93"/>
      <c r="AQ704" s="93"/>
      <c r="AR704" s="93"/>
    </row>
    <row r="705" s="422" customFormat="1" customHeight="1" spans="1:44">
      <c r="A705" s="115" t="s">
        <v>2542</v>
      </c>
      <c r="B705" s="106" t="s">
        <v>2540</v>
      </c>
      <c r="C705" s="459" t="s">
        <v>2541</v>
      </c>
      <c r="D705" s="193" t="str">
        <f t="shared" si="219"/>
        <v>刘新歌410181198007056549</v>
      </c>
      <c r="E705" s="106">
        <v>15538109171</v>
      </c>
      <c r="F705" s="453"/>
      <c r="G705" s="106">
        <v>3</v>
      </c>
      <c r="H705" s="106">
        <v>17</v>
      </c>
      <c r="I705" s="106"/>
      <c r="J705" s="106">
        <v>1724</v>
      </c>
      <c r="K705" s="106">
        <v>58.01</v>
      </c>
      <c r="L705" s="106">
        <v>20000</v>
      </c>
      <c r="M705" s="120"/>
      <c r="N705" s="120"/>
      <c r="O705" s="455">
        <v>13785</v>
      </c>
      <c r="P705" s="106">
        <v>799668</v>
      </c>
      <c r="Q705" s="106" t="s">
        <v>66</v>
      </c>
      <c r="R705" s="106">
        <v>400495</v>
      </c>
      <c r="S705" s="106"/>
      <c r="T705" s="106">
        <v>399173</v>
      </c>
      <c r="U705" s="106"/>
      <c r="V705" s="129"/>
      <c r="W705" s="129"/>
      <c r="X705" s="129"/>
      <c r="Y705" s="106"/>
      <c r="Z705" s="106"/>
      <c r="AA705" s="129"/>
      <c r="AB705" s="106"/>
      <c r="AC705" s="106"/>
      <c r="AD705" s="106"/>
      <c r="AE705" s="106"/>
      <c r="AF705" s="453"/>
      <c r="AG705" s="290">
        <v>42870</v>
      </c>
      <c r="AH705" s="129">
        <f>AJ705</f>
        <v>400495</v>
      </c>
      <c r="AI705" s="132">
        <f t="shared" si="229"/>
        <v>400495</v>
      </c>
      <c r="AJ705" s="132">
        <f t="shared" si="230"/>
        <v>400495</v>
      </c>
      <c r="AK705" s="132">
        <f t="shared" si="231"/>
        <v>0</v>
      </c>
      <c r="AL705" s="350"/>
      <c r="AM705" s="133" t="s">
        <v>886</v>
      </c>
      <c r="AN705" s="246">
        <v>44888</v>
      </c>
      <c r="AO705" s="259"/>
      <c r="AP705" s="93"/>
      <c r="AQ705" s="93"/>
      <c r="AR705" s="93"/>
    </row>
    <row r="706" s="422" customFormat="1" customHeight="1" spans="1:44">
      <c r="A706" s="115" t="s">
        <v>2543</v>
      </c>
      <c r="B706" s="106" t="s">
        <v>2544</v>
      </c>
      <c r="C706" s="459" t="s">
        <v>2545</v>
      </c>
      <c r="D706" s="193" t="str">
        <f t="shared" si="219"/>
        <v>史雷412722197902110038</v>
      </c>
      <c r="E706" s="106">
        <v>15238779966</v>
      </c>
      <c r="F706" s="453"/>
      <c r="G706" s="106">
        <v>9</v>
      </c>
      <c r="H706" s="106">
        <v>3</v>
      </c>
      <c r="I706" s="106">
        <v>9</v>
      </c>
      <c r="J706" s="106">
        <v>903</v>
      </c>
      <c r="K706" s="106">
        <v>99.56</v>
      </c>
      <c r="L706" s="106">
        <v>8638</v>
      </c>
      <c r="M706" s="120"/>
      <c r="N706" s="120"/>
      <c r="O706" s="455">
        <v>8537.6</v>
      </c>
      <c r="P706" s="106">
        <v>850003</v>
      </c>
      <c r="Q706" s="106" t="s">
        <v>66</v>
      </c>
      <c r="R706" s="106">
        <v>270003</v>
      </c>
      <c r="S706" s="106"/>
      <c r="T706" s="106" t="s">
        <v>47</v>
      </c>
      <c r="U706" s="106"/>
      <c r="V706" s="129">
        <v>580000</v>
      </c>
      <c r="W706" s="129">
        <v>6471</v>
      </c>
      <c r="X706" s="129">
        <v>80</v>
      </c>
      <c r="Y706" s="106"/>
      <c r="Z706" s="106" t="s">
        <v>48</v>
      </c>
      <c r="AA706" s="129"/>
      <c r="AB706" s="106"/>
      <c r="AC706" s="106"/>
      <c r="AD706" s="106"/>
      <c r="AE706" s="106"/>
      <c r="AF706" s="453"/>
      <c r="AG706" s="290">
        <v>43100</v>
      </c>
      <c r="AH706" s="129">
        <f>R706+W706+X706</f>
        <v>276554</v>
      </c>
      <c r="AI706" s="132">
        <f t="shared" si="229"/>
        <v>856554</v>
      </c>
      <c r="AJ706" s="132">
        <f t="shared" si="230"/>
        <v>856554</v>
      </c>
      <c r="AK706" s="132">
        <f t="shared" si="231"/>
        <v>0</v>
      </c>
      <c r="AL706" s="350"/>
      <c r="AM706" s="133" t="s">
        <v>886</v>
      </c>
      <c r="AN706" s="246">
        <v>44888</v>
      </c>
      <c r="AO706" s="259"/>
      <c r="AP706" s="93"/>
      <c r="AQ706" s="93"/>
      <c r="AR706" s="93"/>
    </row>
    <row r="707" s="422" customFormat="1" customHeight="1" spans="1:44">
      <c r="A707" s="115" t="s">
        <v>2546</v>
      </c>
      <c r="B707" s="106" t="s">
        <v>2547</v>
      </c>
      <c r="C707" s="553" t="s">
        <v>2548</v>
      </c>
      <c r="D707" s="193" t="str">
        <f t="shared" ref="D707:D713" si="232">B707&amp;C707</f>
        <v>甄奎410104198101227639</v>
      </c>
      <c r="E707" s="106">
        <v>15037181122</v>
      </c>
      <c r="F707" s="453"/>
      <c r="G707" s="106">
        <v>6</v>
      </c>
      <c r="H707" s="106">
        <v>1</v>
      </c>
      <c r="I707" s="106">
        <v>26</v>
      </c>
      <c r="J707" s="106">
        <v>2606</v>
      </c>
      <c r="K707" s="106">
        <v>86.33</v>
      </c>
      <c r="L707" s="106">
        <v>17900</v>
      </c>
      <c r="M707" s="120"/>
      <c r="N707" s="120"/>
      <c r="O707" s="455">
        <v>15000</v>
      </c>
      <c r="P707" s="106">
        <v>1294950</v>
      </c>
      <c r="Q707" s="106" t="s">
        <v>46</v>
      </c>
      <c r="R707" s="106">
        <v>704950</v>
      </c>
      <c r="S707" s="106"/>
      <c r="T707" s="106" t="s">
        <v>47</v>
      </c>
      <c r="U707" s="106"/>
      <c r="V707" s="129">
        <v>590000</v>
      </c>
      <c r="W707" s="129">
        <v>5611</v>
      </c>
      <c r="X707" s="129">
        <v>80</v>
      </c>
      <c r="Y707" s="106"/>
      <c r="Z707" s="106" t="s">
        <v>48</v>
      </c>
      <c r="AA707" s="129"/>
      <c r="AB707" s="106"/>
      <c r="AC707" s="106"/>
      <c r="AD707" s="106"/>
      <c r="AE707" s="106"/>
      <c r="AF707" s="453"/>
      <c r="AG707" s="290">
        <v>43122</v>
      </c>
      <c r="AH707" s="129">
        <f>W707+X707</f>
        <v>5691</v>
      </c>
      <c r="AI707" s="132">
        <f t="shared" si="229"/>
        <v>1300641</v>
      </c>
      <c r="AJ707" s="132">
        <f t="shared" si="230"/>
        <v>1300641</v>
      </c>
      <c r="AK707" s="132">
        <f t="shared" si="231"/>
        <v>0</v>
      </c>
      <c r="AL707" s="350"/>
      <c r="AM707" s="133" t="s">
        <v>886</v>
      </c>
      <c r="AN707" s="246">
        <v>44888</v>
      </c>
      <c r="AO707" s="259"/>
      <c r="AP707" s="93"/>
      <c r="AQ707" s="93"/>
      <c r="AR707" s="93"/>
    </row>
    <row r="708" s="422" customFormat="1" customHeight="1" spans="1:44">
      <c r="A708" s="115" t="s">
        <v>2549</v>
      </c>
      <c r="B708" s="106" t="s">
        <v>2550</v>
      </c>
      <c r="C708" s="459" t="s">
        <v>2551</v>
      </c>
      <c r="D708" s="193" t="str">
        <f t="shared" si="232"/>
        <v>陈新华410103197806053746</v>
      </c>
      <c r="E708" s="106">
        <v>13503811960</v>
      </c>
      <c r="F708" s="453"/>
      <c r="G708" s="106">
        <v>2</v>
      </c>
      <c r="H708" s="106">
        <v>10</v>
      </c>
      <c r="I708" s="106"/>
      <c r="J708" s="106">
        <v>1016</v>
      </c>
      <c r="K708" s="106">
        <v>49.74</v>
      </c>
      <c r="L708" s="106">
        <v>20000</v>
      </c>
      <c r="M708" s="120"/>
      <c r="N708" s="120"/>
      <c r="O708" s="455">
        <v>10000</v>
      </c>
      <c r="P708" s="106">
        <v>497400</v>
      </c>
      <c r="Q708" s="106" t="s">
        <v>56</v>
      </c>
      <c r="R708" s="106">
        <v>497400</v>
      </c>
      <c r="S708" s="106"/>
      <c r="T708" s="106">
        <v>0</v>
      </c>
      <c r="U708" s="106"/>
      <c r="V708" s="129"/>
      <c r="W708" s="129">
        <v>3233</v>
      </c>
      <c r="X708" s="129">
        <v>550</v>
      </c>
      <c r="Y708" s="106"/>
      <c r="Z708" s="106" t="s">
        <v>48</v>
      </c>
      <c r="AA708" s="129"/>
      <c r="AB708" s="106"/>
      <c r="AC708" s="106"/>
      <c r="AD708" s="106"/>
      <c r="AE708" s="106"/>
      <c r="AF708" s="453"/>
      <c r="AG708" s="290">
        <v>43073</v>
      </c>
      <c r="AH708" s="129">
        <f>W708+X708+R708</f>
        <v>501183</v>
      </c>
      <c r="AI708" s="132">
        <f t="shared" si="229"/>
        <v>501183</v>
      </c>
      <c r="AJ708" s="132">
        <f t="shared" si="230"/>
        <v>501183</v>
      </c>
      <c r="AK708" s="132">
        <f t="shared" si="231"/>
        <v>0</v>
      </c>
      <c r="AL708" s="350"/>
      <c r="AM708" s="133" t="s">
        <v>886</v>
      </c>
      <c r="AN708" s="246">
        <v>44888</v>
      </c>
      <c r="AO708" s="259"/>
      <c r="AP708" s="93"/>
      <c r="AQ708" s="93"/>
      <c r="AR708" s="93"/>
    </row>
    <row r="709" s="422" customFormat="1" customHeight="1" spans="1:44">
      <c r="A709" s="115" t="s">
        <v>2552</v>
      </c>
      <c r="B709" s="106" t="s">
        <v>2553</v>
      </c>
      <c r="C709" s="459" t="s">
        <v>2554</v>
      </c>
      <c r="D709" s="193" t="str">
        <f t="shared" si="232"/>
        <v>王若飞410426198811157019</v>
      </c>
      <c r="E709" s="106" t="s">
        <v>2555</v>
      </c>
      <c r="F709" s="453"/>
      <c r="G709" s="106">
        <v>3</v>
      </c>
      <c r="H709" s="106">
        <v>21</v>
      </c>
      <c r="I709" s="106"/>
      <c r="J709" s="106">
        <v>2129</v>
      </c>
      <c r="K709" s="106">
        <v>57.45</v>
      </c>
      <c r="L709" s="106">
        <v>20000</v>
      </c>
      <c r="M709" s="120"/>
      <c r="N709" s="120"/>
      <c r="O709" s="455">
        <v>10500</v>
      </c>
      <c r="P709" s="106">
        <v>603225</v>
      </c>
      <c r="Q709" s="106" t="s">
        <v>56</v>
      </c>
      <c r="R709" s="106">
        <v>603225</v>
      </c>
      <c r="S709" s="106"/>
      <c r="T709" s="106" t="s">
        <v>47</v>
      </c>
      <c r="U709" s="106"/>
      <c r="V709" s="129"/>
      <c r="W709" s="129">
        <v>3734</v>
      </c>
      <c r="X709" s="129">
        <v>550</v>
      </c>
      <c r="Y709" s="106"/>
      <c r="Z709" s="106" t="s">
        <v>48</v>
      </c>
      <c r="AA709" s="129"/>
      <c r="AB709" s="106"/>
      <c r="AC709" s="106"/>
      <c r="AD709" s="106"/>
      <c r="AE709" s="106"/>
      <c r="AF709" s="453"/>
      <c r="AG709" s="290">
        <v>42849</v>
      </c>
      <c r="AH709" s="129"/>
      <c r="AI709" s="132">
        <f t="shared" si="229"/>
        <v>607509</v>
      </c>
      <c r="AJ709" s="132">
        <f t="shared" si="230"/>
        <v>607509</v>
      </c>
      <c r="AK709" s="132">
        <f t="shared" si="231"/>
        <v>0</v>
      </c>
      <c r="AL709" s="350"/>
      <c r="AM709" s="133" t="s">
        <v>900</v>
      </c>
      <c r="AN709" s="246">
        <v>44887</v>
      </c>
      <c r="AO709" s="259"/>
      <c r="AP709" s="93"/>
      <c r="AQ709" s="93"/>
      <c r="AR709" s="93"/>
    </row>
    <row r="710" s="425" customFormat="1" customHeight="1" spans="1:44">
      <c r="A710" s="106" t="s">
        <v>2556</v>
      </c>
      <c r="B710" s="143" t="s">
        <v>2557</v>
      </c>
      <c r="C710" s="532" t="s">
        <v>2558</v>
      </c>
      <c r="D710" s="193" t="str">
        <f t="shared" si="232"/>
        <v>乔洁410503197011232523</v>
      </c>
      <c r="E710" s="533" t="s">
        <v>2559</v>
      </c>
      <c r="F710" s="532"/>
      <c r="G710" s="534">
        <v>9</v>
      </c>
      <c r="H710" s="143">
        <v>3</v>
      </c>
      <c r="I710" s="143">
        <v>15</v>
      </c>
      <c r="J710" s="143">
        <v>1502</v>
      </c>
      <c r="K710" s="143">
        <v>99.56</v>
      </c>
      <c r="L710" s="143">
        <v>19570</v>
      </c>
      <c r="M710" s="143"/>
      <c r="N710" s="143"/>
      <c r="O710" s="538">
        <v>10000</v>
      </c>
      <c r="P710" s="534">
        <v>995600</v>
      </c>
      <c r="Q710" s="540" t="s">
        <v>66</v>
      </c>
      <c r="R710" s="540">
        <v>900000</v>
      </c>
      <c r="S710" s="540"/>
      <c r="T710" s="540"/>
      <c r="U710" s="540"/>
      <c r="V710" s="143"/>
      <c r="W710" s="143"/>
      <c r="X710" s="143"/>
      <c r="Y710" s="143"/>
      <c r="Z710" s="143"/>
      <c r="AA710" s="543"/>
      <c r="AB710" s="143"/>
      <c r="AC710" s="143"/>
      <c r="AD710" s="143"/>
      <c r="AE710" s="106"/>
      <c r="AF710" s="453"/>
      <c r="AG710" s="290">
        <v>42271</v>
      </c>
      <c r="AH710" s="129"/>
      <c r="AI710" s="132">
        <f t="shared" si="229"/>
        <v>900000</v>
      </c>
      <c r="AJ710" s="132">
        <f t="shared" si="230"/>
        <v>900000</v>
      </c>
      <c r="AK710" s="132">
        <f t="shared" si="231"/>
        <v>0</v>
      </c>
      <c r="AL710" s="350" t="s">
        <v>2560</v>
      </c>
      <c r="AM710" s="129" t="s">
        <v>900</v>
      </c>
      <c r="AN710" s="290">
        <v>44887</v>
      </c>
      <c r="AO710" s="458"/>
      <c r="AP710" s="93"/>
      <c r="AQ710" s="93"/>
      <c r="AR710" s="93"/>
    </row>
    <row r="711" s="425" customFormat="1" customHeight="1" spans="1:44">
      <c r="A711" s="106" t="s">
        <v>2561</v>
      </c>
      <c r="B711" s="143" t="s">
        <v>2557</v>
      </c>
      <c r="C711" s="532" t="s">
        <v>2558</v>
      </c>
      <c r="D711" s="193" t="str">
        <f t="shared" si="232"/>
        <v>乔洁410503197011232523</v>
      </c>
      <c r="E711" s="533" t="s">
        <v>2559</v>
      </c>
      <c r="F711" s="532"/>
      <c r="G711" s="534">
        <v>9</v>
      </c>
      <c r="H711" s="143">
        <v>3</v>
      </c>
      <c r="I711" s="143">
        <v>16</v>
      </c>
      <c r="J711" s="143">
        <v>1602</v>
      </c>
      <c r="K711" s="143">
        <v>99.56</v>
      </c>
      <c r="L711" s="143">
        <v>19570</v>
      </c>
      <c r="M711" s="143"/>
      <c r="N711" s="143"/>
      <c r="O711" s="538">
        <v>10000</v>
      </c>
      <c r="P711" s="534">
        <v>995600</v>
      </c>
      <c r="Q711" s="540" t="s">
        <v>66</v>
      </c>
      <c r="R711" s="540">
        <v>900000</v>
      </c>
      <c r="S711" s="540"/>
      <c r="T711" s="540"/>
      <c r="U711" s="540"/>
      <c r="V711" s="143"/>
      <c r="W711" s="143"/>
      <c r="X711" s="143"/>
      <c r="Y711" s="143"/>
      <c r="Z711" s="143"/>
      <c r="AA711" s="543"/>
      <c r="AB711" s="143"/>
      <c r="AC711" s="143"/>
      <c r="AD711" s="143"/>
      <c r="AE711" s="106"/>
      <c r="AF711" s="453"/>
      <c r="AG711" s="290">
        <v>42271</v>
      </c>
      <c r="AH711" s="129"/>
      <c r="AI711" s="132">
        <f t="shared" si="229"/>
        <v>900000</v>
      </c>
      <c r="AJ711" s="132">
        <f t="shared" si="230"/>
        <v>900000</v>
      </c>
      <c r="AK711" s="132">
        <f t="shared" si="231"/>
        <v>0</v>
      </c>
      <c r="AL711" s="350" t="s">
        <v>2560</v>
      </c>
      <c r="AM711" s="129" t="s">
        <v>900</v>
      </c>
      <c r="AN711" s="290">
        <v>44887</v>
      </c>
      <c r="AO711" s="458"/>
      <c r="AP711" s="93"/>
      <c r="AQ711" s="93"/>
      <c r="AR711" s="93"/>
    </row>
    <row r="712" s="425" customFormat="1" customHeight="1" spans="1:44">
      <c r="A712" s="106" t="s">
        <v>2562</v>
      </c>
      <c r="B712" s="143" t="s">
        <v>2563</v>
      </c>
      <c r="C712" s="532" t="s">
        <v>2564</v>
      </c>
      <c r="D712" s="193" t="str">
        <f t="shared" si="232"/>
        <v>周子洋411023200001083513</v>
      </c>
      <c r="E712" s="533" t="s">
        <v>2565</v>
      </c>
      <c r="F712" s="532"/>
      <c r="G712" s="534">
        <v>11</v>
      </c>
      <c r="H712" s="143">
        <v>3</v>
      </c>
      <c r="I712" s="143">
        <v>23</v>
      </c>
      <c r="J712" s="143">
        <v>2303</v>
      </c>
      <c r="K712" s="143">
        <v>151.44</v>
      </c>
      <c r="L712" s="143">
        <v>17900</v>
      </c>
      <c r="M712" s="143"/>
      <c r="N712" s="143"/>
      <c r="O712" s="538">
        <v>11000</v>
      </c>
      <c r="P712" s="534">
        <v>1665840</v>
      </c>
      <c r="Q712" s="540" t="s">
        <v>56</v>
      </c>
      <c r="R712" s="540">
        <v>1665840</v>
      </c>
      <c r="S712" s="540"/>
      <c r="T712" s="540" t="s">
        <v>47</v>
      </c>
      <c r="U712" s="540"/>
      <c r="V712" s="143"/>
      <c r="W712" s="143">
        <v>9843</v>
      </c>
      <c r="X712" s="143">
        <v>80</v>
      </c>
      <c r="Y712" s="143"/>
      <c r="Z712" s="143" t="s">
        <v>48</v>
      </c>
      <c r="AA712" s="543"/>
      <c r="AB712" s="143"/>
      <c r="AC712" s="143"/>
      <c r="AD712" s="143"/>
      <c r="AE712" s="106"/>
      <c r="AF712" s="453"/>
      <c r="AG712" s="290">
        <v>43097</v>
      </c>
      <c r="AH712" s="129">
        <f>AJ712</f>
        <v>1675763</v>
      </c>
      <c r="AI712" s="132">
        <f t="shared" si="229"/>
        <v>1675763</v>
      </c>
      <c r="AJ712" s="132">
        <f t="shared" si="230"/>
        <v>1675763</v>
      </c>
      <c r="AK712" s="132">
        <f t="shared" si="231"/>
        <v>0</v>
      </c>
      <c r="AL712" s="350"/>
      <c r="AM712" s="129" t="s">
        <v>886</v>
      </c>
      <c r="AN712" s="290">
        <v>44889</v>
      </c>
      <c r="AO712" s="458"/>
      <c r="AP712" s="93"/>
      <c r="AQ712" s="93"/>
      <c r="AR712" s="93"/>
    </row>
    <row r="713" s="422" customFormat="1" customHeight="1" spans="1:44">
      <c r="A713" s="115" t="s">
        <v>2566</v>
      </c>
      <c r="B713" s="535" t="s">
        <v>2567</v>
      </c>
      <c r="C713" s="536" t="s">
        <v>2568</v>
      </c>
      <c r="D713" s="193" t="str">
        <f t="shared" si="232"/>
        <v>周均增410103196310133799</v>
      </c>
      <c r="E713" s="536" t="s">
        <v>2569</v>
      </c>
      <c r="F713" s="537"/>
      <c r="G713" s="535">
        <v>11</v>
      </c>
      <c r="H713" s="535">
        <v>3</v>
      </c>
      <c r="I713" s="535">
        <v>22</v>
      </c>
      <c r="J713" s="535">
        <v>2203</v>
      </c>
      <c r="K713" s="535">
        <v>151.44</v>
      </c>
      <c r="L713" s="143">
        <v>17900</v>
      </c>
      <c r="M713" s="143"/>
      <c r="N713" s="143"/>
      <c r="O713" s="539">
        <v>11000</v>
      </c>
      <c r="P713" s="535">
        <v>1665840</v>
      </c>
      <c r="Q713" s="535" t="s">
        <v>56</v>
      </c>
      <c r="R713" s="541">
        <v>1665840</v>
      </c>
      <c r="S713" s="541"/>
      <c r="T713" s="541">
        <v>0</v>
      </c>
      <c r="U713" s="542"/>
      <c r="V713" s="535"/>
      <c r="W713" s="535">
        <v>9843</v>
      </c>
      <c r="X713" s="535">
        <v>80</v>
      </c>
      <c r="Y713" s="535"/>
      <c r="Z713" s="544"/>
      <c r="AA713" s="545"/>
      <c r="AB713" s="544"/>
      <c r="AC713" s="544"/>
      <c r="AD713" s="544"/>
      <c r="AE713" s="106"/>
      <c r="AF713" s="453"/>
      <c r="AG713" s="290">
        <v>43097</v>
      </c>
      <c r="AH713" s="129">
        <f>R713</f>
        <v>1665840</v>
      </c>
      <c r="AI713" s="132">
        <f t="shared" si="229"/>
        <v>1675763</v>
      </c>
      <c r="AJ713" s="132">
        <f t="shared" si="230"/>
        <v>1675763</v>
      </c>
      <c r="AK713" s="132">
        <f t="shared" si="231"/>
        <v>0</v>
      </c>
      <c r="AL713" s="350" t="s">
        <v>2570</v>
      </c>
      <c r="AM713" s="133" t="s">
        <v>900</v>
      </c>
      <c r="AN713" s="246">
        <v>44889</v>
      </c>
      <c r="AO713" s="259"/>
      <c r="AP713" s="93"/>
      <c r="AQ713" s="93"/>
      <c r="AR713" s="93"/>
    </row>
    <row r="714" s="252" customFormat="1" customHeight="1" spans="1:44">
      <c r="A714" s="115"/>
      <c r="B714" s="106"/>
      <c r="C714" s="459"/>
      <c r="D714" s="459"/>
      <c r="E714" s="106"/>
      <c r="F714" s="453"/>
      <c r="G714" s="106"/>
      <c r="H714" s="106"/>
      <c r="I714" s="106"/>
      <c r="J714" s="106"/>
      <c r="K714" s="106"/>
      <c r="L714" s="106"/>
      <c r="M714" s="120"/>
      <c r="N714" s="120"/>
      <c r="O714" s="455"/>
      <c r="P714" s="106"/>
      <c r="Q714" s="106"/>
      <c r="R714" s="106"/>
      <c r="S714" s="106"/>
      <c r="T714" s="106"/>
      <c r="U714" s="106"/>
      <c r="V714" s="129"/>
      <c r="W714" s="129"/>
      <c r="X714" s="129"/>
      <c r="Y714" s="106"/>
      <c r="Z714" s="106"/>
      <c r="AA714" s="129"/>
      <c r="AB714" s="106"/>
      <c r="AC714" s="106"/>
      <c r="AD714" s="106"/>
      <c r="AE714" s="106"/>
      <c r="AF714" s="453"/>
      <c r="AG714" s="290"/>
      <c r="AH714" s="129"/>
      <c r="AI714" s="289"/>
      <c r="AJ714" s="289"/>
      <c r="AK714" s="289"/>
      <c r="AL714" s="350"/>
      <c r="AM714" s="133"/>
      <c r="AN714" s="246"/>
      <c r="AO714" s="259"/>
      <c r="AP714" s="93"/>
      <c r="AQ714" s="93"/>
      <c r="AR714" s="93"/>
    </row>
    <row r="715" s="422" customFormat="1" customHeight="1" spans="1:44">
      <c r="A715" s="115"/>
      <c r="B715" s="106"/>
      <c r="C715" s="459"/>
      <c r="D715" s="459"/>
      <c r="E715" s="106"/>
      <c r="F715" s="453"/>
      <c r="G715" s="106"/>
      <c r="H715" s="106"/>
      <c r="I715" s="106"/>
      <c r="J715" s="106"/>
      <c r="K715" s="106"/>
      <c r="L715" s="106"/>
      <c r="M715" s="120"/>
      <c r="N715" s="120"/>
      <c r="O715" s="455"/>
      <c r="P715" s="106"/>
      <c r="Q715" s="106"/>
      <c r="R715" s="106"/>
      <c r="S715" s="106"/>
      <c r="T715" s="106"/>
      <c r="U715" s="106"/>
      <c r="V715" s="129"/>
      <c r="W715" s="129"/>
      <c r="X715" s="129"/>
      <c r="Y715" s="106"/>
      <c r="Z715" s="106"/>
      <c r="AA715" s="129"/>
      <c r="AB715" s="106"/>
      <c r="AC715" s="106"/>
      <c r="AD715" s="106"/>
      <c r="AE715" s="106"/>
      <c r="AF715" s="453"/>
      <c r="AG715" s="290"/>
      <c r="AH715" s="129"/>
      <c r="AI715" s="289"/>
      <c r="AJ715" s="289"/>
      <c r="AK715" s="289"/>
      <c r="AL715" s="350"/>
      <c r="AM715" s="133"/>
      <c r="AN715" s="246"/>
      <c r="AO715" s="259"/>
      <c r="AP715" s="93"/>
      <c r="AQ715" s="93"/>
      <c r="AR715" s="93"/>
    </row>
    <row r="716" s="422" customFormat="1" customHeight="1" spans="1:44">
      <c r="A716" s="115"/>
      <c r="B716" s="106"/>
      <c r="C716" s="459"/>
      <c r="D716" s="459"/>
      <c r="E716" s="106"/>
      <c r="F716" s="453"/>
      <c r="G716" s="106"/>
      <c r="H716" s="106"/>
      <c r="I716" s="106"/>
      <c r="J716" s="106"/>
      <c r="K716" s="106"/>
      <c r="L716" s="106"/>
      <c r="M716" s="120"/>
      <c r="N716" s="120"/>
      <c r="O716" s="455"/>
      <c r="P716" s="106"/>
      <c r="Q716" s="106"/>
      <c r="R716" s="106"/>
      <c r="S716" s="106"/>
      <c r="T716" s="106"/>
      <c r="U716" s="106"/>
      <c r="V716" s="129"/>
      <c r="W716" s="129"/>
      <c r="X716" s="129"/>
      <c r="Y716" s="106"/>
      <c r="Z716" s="106"/>
      <c r="AA716" s="129"/>
      <c r="AB716" s="106"/>
      <c r="AC716" s="106"/>
      <c r="AD716" s="106"/>
      <c r="AE716" s="106"/>
      <c r="AF716" s="453"/>
      <c r="AG716" s="290"/>
      <c r="AH716" s="129"/>
      <c r="AI716" s="289"/>
      <c r="AJ716" s="289"/>
      <c r="AK716" s="289"/>
      <c r="AL716" s="350"/>
      <c r="AM716" s="133"/>
      <c r="AN716" s="246"/>
      <c r="AO716" s="259"/>
      <c r="AP716" s="93"/>
      <c r="AQ716" s="93"/>
      <c r="AR716" s="93"/>
    </row>
    <row r="717" s="422" customFormat="1" customHeight="1" spans="1:44">
      <c r="A717" s="115"/>
      <c r="B717" s="106"/>
      <c r="C717" s="459"/>
      <c r="D717" s="459"/>
      <c r="E717" s="106"/>
      <c r="F717" s="453"/>
      <c r="G717" s="106"/>
      <c r="H717" s="106"/>
      <c r="I717" s="106"/>
      <c r="J717" s="106"/>
      <c r="K717" s="106"/>
      <c r="L717" s="106"/>
      <c r="M717" s="120"/>
      <c r="N717" s="120"/>
      <c r="O717" s="455"/>
      <c r="P717" s="106"/>
      <c r="Q717" s="106"/>
      <c r="R717" s="106"/>
      <c r="S717" s="106"/>
      <c r="T717" s="106"/>
      <c r="U717" s="106"/>
      <c r="V717" s="129"/>
      <c r="W717" s="129"/>
      <c r="X717" s="129"/>
      <c r="Y717" s="106"/>
      <c r="Z717" s="106"/>
      <c r="AA717" s="129"/>
      <c r="AB717" s="106"/>
      <c r="AC717" s="106"/>
      <c r="AD717" s="106"/>
      <c r="AE717" s="106"/>
      <c r="AF717" s="453"/>
      <c r="AG717" s="290"/>
      <c r="AH717" s="129"/>
      <c r="AI717" s="289"/>
      <c r="AJ717" s="289"/>
      <c r="AK717" s="289"/>
      <c r="AL717" s="350"/>
      <c r="AM717" s="133"/>
      <c r="AN717" s="246"/>
      <c r="AO717" s="259"/>
      <c r="AP717" s="93"/>
      <c r="AQ717" s="93"/>
      <c r="AR717" s="93"/>
    </row>
    <row r="718" s="422" customFormat="1" customHeight="1" spans="1:44">
      <c r="A718" s="115"/>
      <c r="B718" s="106"/>
      <c r="C718" s="459"/>
      <c r="D718" s="459"/>
      <c r="E718" s="106"/>
      <c r="F718" s="453"/>
      <c r="G718" s="106"/>
      <c r="H718" s="106"/>
      <c r="I718" s="106"/>
      <c r="J718" s="106"/>
      <c r="K718" s="106"/>
      <c r="L718" s="106"/>
      <c r="M718" s="120"/>
      <c r="N718" s="120"/>
      <c r="O718" s="455"/>
      <c r="P718" s="106"/>
      <c r="Q718" s="106"/>
      <c r="R718" s="106"/>
      <c r="S718" s="106"/>
      <c r="T718" s="106"/>
      <c r="U718" s="106"/>
      <c r="V718" s="129"/>
      <c r="W718" s="129"/>
      <c r="X718" s="129"/>
      <c r="Y718" s="106"/>
      <c r="Z718" s="106"/>
      <c r="AA718" s="129"/>
      <c r="AB718" s="106"/>
      <c r="AC718" s="106"/>
      <c r="AD718" s="106"/>
      <c r="AE718" s="106"/>
      <c r="AF718" s="453"/>
      <c r="AG718" s="290"/>
      <c r="AH718" s="129"/>
      <c r="AI718" s="289"/>
      <c r="AJ718" s="289"/>
      <c r="AK718" s="289"/>
      <c r="AL718" s="350"/>
      <c r="AM718" s="133"/>
      <c r="AN718" s="246"/>
      <c r="AO718" s="259"/>
      <c r="AP718" s="93"/>
      <c r="AQ718" s="93"/>
      <c r="AR718" s="93"/>
    </row>
    <row r="719" s="422" customFormat="1" customHeight="1" spans="1:44">
      <c r="A719" s="115"/>
      <c r="B719" s="106"/>
      <c r="C719" s="459"/>
      <c r="D719" s="459"/>
      <c r="E719" s="106"/>
      <c r="F719" s="453"/>
      <c r="G719" s="106"/>
      <c r="H719" s="106"/>
      <c r="I719" s="106"/>
      <c r="J719" s="106"/>
      <c r="K719" s="106"/>
      <c r="L719" s="106"/>
      <c r="M719" s="120"/>
      <c r="N719" s="120"/>
      <c r="O719" s="455"/>
      <c r="P719" s="106"/>
      <c r="Q719" s="106"/>
      <c r="R719" s="106"/>
      <c r="S719" s="106"/>
      <c r="T719" s="106"/>
      <c r="U719" s="106"/>
      <c r="V719" s="129"/>
      <c r="W719" s="129"/>
      <c r="X719" s="129"/>
      <c r="Y719" s="106"/>
      <c r="Z719" s="106"/>
      <c r="AA719" s="129"/>
      <c r="AB719" s="106"/>
      <c r="AC719" s="106"/>
      <c r="AD719" s="106"/>
      <c r="AE719" s="106"/>
      <c r="AF719" s="453"/>
      <c r="AG719" s="290"/>
      <c r="AH719" s="129"/>
      <c r="AI719" s="289"/>
      <c r="AJ719" s="289"/>
      <c r="AK719" s="289"/>
      <c r="AL719" s="350"/>
      <c r="AM719" s="133"/>
      <c r="AN719" s="246"/>
      <c r="AO719" s="259"/>
      <c r="AP719" s="93"/>
      <c r="AQ719" s="93"/>
      <c r="AR719" s="93"/>
    </row>
    <row r="720" s="422" customFormat="1" customHeight="1" spans="1:44">
      <c r="A720" s="115"/>
      <c r="B720" s="106"/>
      <c r="C720" s="459"/>
      <c r="D720" s="459"/>
      <c r="E720" s="106"/>
      <c r="F720" s="453"/>
      <c r="G720" s="106"/>
      <c r="H720" s="106"/>
      <c r="I720" s="106"/>
      <c r="J720" s="106"/>
      <c r="K720" s="106"/>
      <c r="L720" s="106"/>
      <c r="M720" s="120"/>
      <c r="N720" s="120"/>
      <c r="O720" s="455"/>
      <c r="P720" s="106"/>
      <c r="Q720" s="106"/>
      <c r="R720" s="106"/>
      <c r="S720" s="106"/>
      <c r="T720" s="106"/>
      <c r="U720" s="106"/>
      <c r="V720" s="129"/>
      <c r="W720" s="129"/>
      <c r="X720" s="129"/>
      <c r="Y720" s="106"/>
      <c r="Z720" s="106"/>
      <c r="AA720" s="129"/>
      <c r="AB720" s="106"/>
      <c r="AC720" s="106"/>
      <c r="AD720" s="106"/>
      <c r="AE720" s="106"/>
      <c r="AF720" s="453"/>
      <c r="AG720" s="290"/>
      <c r="AH720" s="129"/>
      <c r="AI720" s="289"/>
      <c r="AJ720" s="289"/>
      <c r="AK720" s="289"/>
      <c r="AL720" s="350"/>
      <c r="AM720" s="133"/>
      <c r="AN720" s="246"/>
      <c r="AO720" s="259"/>
      <c r="AP720" s="93"/>
      <c r="AQ720" s="93"/>
      <c r="AR720" s="93"/>
    </row>
  </sheetData>
  <sortState ref="A2:AN713">
    <sortCondition ref="A2:A713"/>
  </sortState>
  <conditionalFormatting sqref="A47">
    <cfRule type="duplicateValues" dxfId="0" priority="11"/>
  </conditionalFormatting>
  <conditionalFormatting sqref="A57">
    <cfRule type="duplicateValues" dxfId="0" priority="10"/>
  </conditionalFormatting>
  <conditionalFormatting sqref="A78">
    <cfRule type="duplicateValues" dxfId="0" priority="9"/>
  </conditionalFormatting>
  <conditionalFormatting sqref="A96">
    <cfRule type="duplicateValues" dxfId="0" priority="7"/>
  </conditionalFormatting>
  <conditionalFormatting sqref="A97">
    <cfRule type="duplicateValues" dxfId="0" priority="6"/>
  </conditionalFormatting>
  <conditionalFormatting sqref="A145">
    <cfRule type="duplicateValues" dxfId="0" priority="5"/>
  </conditionalFormatting>
  <conditionalFormatting sqref="A156">
    <cfRule type="duplicateValues" dxfId="0" priority="4"/>
  </conditionalFormatting>
  <conditionalFormatting sqref="A171">
    <cfRule type="duplicateValues" dxfId="0" priority="3"/>
  </conditionalFormatting>
  <conditionalFormatting sqref="A205">
    <cfRule type="duplicateValues" dxfId="0" priority="2"/>
  </conditionalFormatting>
  <conditionalFormatting sqref="A206">
    <cfRule type="duplicateValues" dxfId="0" priority="1"/>
  </conditionalFormatting>
  <conditionalFormatting sqref="A84:A85">
    <cfRule type="duplicateValues" dxfId="0" priority="8"/>
  </conditionalFormatting>
  <dataValidations count="3">
    <dataValidation type="list" allowBlank="1" showInputMessage="1" showErrorMessage="1" sqref="Q2 Q3 Q6 Q13 Q15 Q20 Q22 Q23 Q25 Q27 Q30 Q37 Q73 Q78 Q83 Q86 Q87 Q123 Q133 Q137 Q140 Q142 Q149 Q157 Q161 Q162 Q163 Q164 Q165 Q166 Q167 Q169 Q173 Q177 Q180 Q186 Q187 Q188 Q190 Q192 Q195 Q198 Q199 Q207 Q212 Q215 Q217 Q221 Q224 Q225 Q227 Q228 Q229 Q230 Q231 Q233 Q234 Q237 Q238 Q239 Q240 Q275 Q276 Q277 Q278 Q309 Q311 Q313 Q315 Q316 Q317 Q322 Q325 Q326 Q334 Q339 Q343 Q348 Q349 Q353 Q355 Q357 Q359 Q367 Q370 Q372 Q376 Q383 Q384 Q386 Q388 Q392 Q397 Q406 Q411 Q417 Q419 Q421 Q422 Q424 Q428 Q431 Q434 Q435 Q437 Q443 Q456 Q457 Q458 Q460 Q461 Q462 Q463 Q464 Q465 Q468 Q470 Q483 Q484 Q485 Q494 Q495 Q496 Q513 Q517 Q524 Q525 Q526 Q527 Q533 Q535 Q536 Q537 Q538 Q539 Q541 Q545 Q552 Q554 Q555 Q557 Q561 Q563 Q567 Q568 Q569 Q570 Q573 Q576 Q578 Q579 Q580 Q582 Q591 Q592 Q594 Q597 Q604 Q608 Q612 Q614 Q615 Q616 Q617 Q618 Q620 Q622 Q625 Q627 Q628 Q648 Q650 Q655 Q659 Q660 Q664 Q665 Q670 Q675 Q684 Q687 Q690 Q691 Q694 Q695 Q696 Q697 Q698 Q699 Q700 Q703 Q704 Q708 Q272:Q273">
      <formula1>"按揭,公积金,一次性"</formula1>
    </dataValidation>
    <dataValidation type="list" allowBlank="1" showInputMessage="1" showErrorMessage="1" sqref="Q4 Q5 Q7 Q8 Q9 Q10 Q11 Q12 Q14 Q16 Q17 Q18 Q19 Q21 Q24 Q26 Q28 Q29 Q31 Q36 Q38 Q39 Q44 Q46 Q48 Q71 Q72 Q74 Q75 Q76 Q77 Q79 Q80 Q81 Q82 Q84 Q85 Q88 Q120 Q121 Q122 Q124 Q125 Q126 Q127 Q128 Q129 Q130 Q131 Q134 Q138 Q139 Q143 Q144 Q145 Q146 Q148 Q150 Q151 Q152 Q153 Q154 Q156 Q158 Q160 Q168 Q170 Q171 Q172 Q174 Q175 Q176 Q181 Q182 Q183 Q184 Q185 Q189 Q191 Q193 Q194 Q196 Q197 Q200 Q201 Q202 Q203 Q205 Q206 Q208 Q209 Q210 Q211 Q214 Q216 Q218 Q220 Q222 Q223 Q232 Q235 Q236 Q241 Q242 Q243 Q244 Q245 Q246 Q271 Q274 Q308 Q310 Q312 Q314 Q318 Q319 Q320 Q321 Q323 Q324 Q327 Q328 Q329 Q330 Q331 Q332 Q333 Q335 Q336 Q337 Q338 Q340 Q341 Q342 Q344 Q345 Q346 Q347 Q350 Q351 Q354 Q356 Q360 Q361 Q364 Q365 Q366 Q368 Q369 Q374 Q375 Q377 Q378 Q380 Q381 Q382 Q385 Q387 Q389 Q390 Q391 Q393 Q394 Q396 Q398 Q401 Q402 Q403 Q404 Q405 Q407 Q408 Q409 Q410 Q412 Q413 Q414 Q415 Q416 Q418 Q420 Q425 Q426 Q427 Q429 Q430 Q432 Q433 Q436 Q438 Q439 Q440 Q444 Q450 Q451 Q452 Q453 Q454 Q455 Q466 Q467 Q469 Q471 Q472 Q473 Q475 Q476 Q477 Q478 Q480 Q481 Q482 Q486 Q487 Q492 Q493 Q497 Q498 Q499 Q500 Q501 Q504 Q506 Q509 Q510 Q511 Q512 Q515 Q516 Q520 Q521 Q523 Q528 Q529 Q530 Q532 Q534 Q540 Q542 Q543 Q544 Q547 Q548 Q549 Q550 Q551 Q556 Q560 Q562 Q564 Q566 Q571 Q574 Q577 Q581 Q585 Q586 Q589 Q590 Q595 Q596 Q598 Q599 Q600 Q601 Q605 Q606 Q607 Q613 Q619 Q623 Q626 Q629 Q630 Q631 Q633 Q636 Q637 Q638 Q639 Q640 Q641 Q642 Q643 Q644 Q645 Q646 Q649 Q651 Q652 Q653 Q654 Q656 Q658 Q663 Q666 Q667 Q668 Q669 Q671 Q672 Q673 Q674 Q676 Q677 Q678 Q679 Q680 Q681 Q682 Q683 Q685 Q688 Q689 Q692 Q693 Q701 Q702 Q705 Q706 Q707 Q711 Q712 Q713 Q362:Q363 Q399:Q400 Q445:Q446 Q447:Q449 Q488:Q491 Q602:Q603 Q709:Q710">
      <formula1>"按揭,一次性,公积金"</formula1>
    </dataValidation>
    <dataValidation type="list" allowBlank="1" showInputMessage="1" showErrorMessage="1" sqref="Q32 Q47 Q135 Q136 Q141 Q147 Q155 Q159 Q204 Q213 Q219 Q226 Q352 Q358 Q371 Q373 Q379 Q395 Q423 Q441 Q442 Q459 Q479 Q502 Q503 Q505 Q507 Q508 Q514 Q519 Q522 Q531 Q546 Q558 Q559 Q565 Q575 Q583 Q584 Q593 Q611 Q621 Q624 Q632 Q647 Q657 Q661 Q662 Q686 Q587:Q588 Q609:Q610 Q634:Q635">
      <formula1>"按揭,一次性"</formula1>
    </dataValidation>
  </dataValidations>
  <pageMargins left="0.7" right="0.7" top="0.75" bottom="0.75" header="0.3" footer="0.3"/>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0"/>
  <sheetViews>
    <sheetView workbookViewId="0">
      <pane xSplit="2" ySplit="1" topLeftCell="D2" activePane="bottomRight" state="frozen"/>
      <selection/>
      <selection pane="topRight"/>
      <selection pane="bottomLeft"/>
      <selection pane="bottomRight" activeCell="D2" sqref="D2:D713"/>
    </sheetView>
  </sheetViews>
  <sheetFormatPr defaultColWidth="9" defaultRowHeight="18" customHeight="1"/>
  <cols>
    <col min="1" max="1" width="8.81818181818182" style="203" customWidth="1"/>
    <col min="2" max="2" width="6.25454545454545" style="203" customWidth="1"/>
    <col min="3" max="3" width="12.8181818181818" style="203" customWidth="1"/>
    <col min="4" max="4" width="20.9090909090909" style="202" customWidth="1"/>
    <col min="5" max="5" width="5.38181818181818" style="203" customWidth="1"/>
    <col min="6" max="7" width="7.38181818181818" style="203" customWidth="1"/>
    <col min="8" max="9" width="12.5" style="397" customWidth="1"/>
    <col min="10" max="10" width="12.8181818181818" style="398" customWidth="1"/>
    <col min="11" max="11" width="14.8181818181818" style="203" customWidth="1"/>
    <col min="12" max="12" width="13.5545454545455" style="205" customWidth="1"/>
    <col min="13" max="13" width="14.7545454545455" style="205" customWidth="1"/>
    <col min="14" max="14" width="14.8181818181818" style="203" customWidth="1"/>
    <col min="15" max="15" width="8.18181818181818" style="202" customWidth="1"/>
    <col min="16" max="16" width="9" style="203"/>
    <col min="17" max="17" width="11.1818181818182" style="206"/>
    <col min="18" max="18" width="7.88181818181818" style="399" customWidth="1"/>
    <col min="19" max="19" width="5.09090909090909" style="206" customWidth="1"/>
    <col min="20" max="20" width="6.90909090909091" style="202" customWidth="1"/>
    <col min="21" max="21" width="11.7272727272727" style="202"/>
    <col min="22" max="22" width="9" style="202"/>
    <col min="23" max="23" width="11.7272727272727" style="202"/>
    <col min="24" max="16384" width="9" style="202"/>
  </cols>
  <sheetData>
    <row r="1" s="189" customFormat="1" customHeight="1" spans="1:25">
      <c r="A1" s="150" t="s">
        <v>0</v>
      </c>
      <c r="B1" s="150" t="s">
        <v>1</v>
      </c>
      <c r="C1" s="150" t="s">
        <v>3</v>
      </c>
      <c r="D1" s="150" t="s">
        <v>2571</v>
      </c>
      <c r="E1" s="150" t="s">
        <v>2572</v>
      </c>
      <c r="F1" s="150" t="s">
        <v>2573</v>
      </c>
      <c r="G1" s="150" t="s">
        <v>2574</v>
      </c>
      <c r="H1" s="126" t="s">
        <v>16</v>
      </c>
      <c r="I1" s="126" t="s">
        <v>2575</v>
      </c>
      <c r="J1" s="184" t="s">
        <v>31</v>
      </c>
      <c r="K1" s="150" t="s">
        <v>2576</v>
      </c>
      <c r="L1" s="126" t="s">
        <v>33</v>
      </c>
      <c r="M1" s="214" t="s">
        <v>34</v>
      </c>
      <c r="N1" s="150" t="s">
        <v>35</v>
      </c>
      <c r="O1" s="150" t="s">
        <v>36</v>
      </c>
      <c r="P1" s="150" t="s">
        <v>37</v>
      </c>
      <c r="Q1" s="410" t="s">
        <v>38</v>
      </c>
      <c r="R1" s="411"/>
      <c r="S1" s="412"/>
      <c r="T1" s="413" t="s">
        <v>39</v>
      </c>
      <c r="U1" s="189">
        <f>SUM(L:L)</f>
        <v>16667357.8</v>
      </c>
      <c r="V1" s="189" t="s">
        <v>40</v>
      </c>
      <c r="W1" s="189">
        <f>SUM(M:M)</f>
        <v>16667357.8</v>
      </c>
      <c r="X1" s="189" t="s">
        <v>41</v>
      </c>
      <c r="Y1" s="189">
        <f>COUNTA(A:A)-1</f>
        <v>69</v>
      </c>
    </row>
    <row r="2" s="187" customFormat="1" customHeight="1" spans="1:19">
      <c r="A2" s="115" t="s">
        <v>49</v>
      </c>
      <c r="B2" s="115" t="s">
        <v>2577</v>
      </c>
      <c r="C2" s="156">
        <v>13526699667</v>
      </c>
      <c r="D2" s="115"/>
      <c r="E2" s="115">
        <v>-4</v>
      </c>
      <c r="F2" s="115">
        <v>1573</v>
      </c>
      <c r="G2" s="115">
        <v>111</v>
      </c>
      <c r="H2" s="132">
        <v>160000</v>
      </c>
      <c r="I2" s="132"/>
      <c r="J2" s="246">
        <v>42748</v>
      </c>
      <c r="K2" s="115"/>
      <c r="L2" s="133">
        <f>H2+I2</f>
        <v>160000</v>
      </c>
      <c r="M2" s="133">
        <f t="shared" ref="M2:M8" si="0">L2</f>
        <v>160000</v>
      </c>
      <c r="N2" s="115">
        <f>L2-M2</f>
        <v>0</v>
      </c>
      <c r="O2" s="115"/>
      <c r="P2" s="115"/>
      <c r="Q2" s="414">
        <v>44841</v>
      </c>
      <c r="R2" s="415">
        <f>H2-L2</f>
        <v>0</v>
      </c>
      <c r="S2" s="416"/>
    </row>
    <row r="3" s="187" customFormat="1" customHeight="1" spans="1:19">
      <c r="A3" s="115" t="s">
        <v>53</v>
      </c>
      <c r="B3" s="115" t="s">
        <v>2578</v>
      </c>
      <c r="C3" s="156">
        <v>18530021611</v>
      </c>
      <c r="D3" s="115"/>
      <c r="E3" s="115">
        <v>-4</v>
      </c>
      <c r="F3" s="115">
        <v>1519</v>
      </c>
      <c r="G3" s="115">
        <v>226</v>
      </c>
      <c r="H3" s="132">
        <v>160000</v>
      </c>
      <c r="I3" s="132"/>
      <c r="J3" s="246">
        <v>42748</v>
      </c>
      <c r="K3" s="115"/>
      <c r="L3" s="133">
        <f t="shared" ref="L3:L15" si="1">H3+I3</f>
        <v>160000</v>
      </c>
      <c r="M3" s="133">
        <f t="shared" si="0"/>
        <v>160000</v>
      </c>
      <c r="N3" s="115">
        <f t="shared" ref="N3:N36" si="2">L3-M3</f>
        <v>0</v>
      </c>
      <c r="O3" s="115"/>
      <c r="P3" s="115"/>
      <c r="Q3" s="414">
        <v>44841</v>
      </c>
      <c r="R3" s="415">
        <f t="shared" ref="R3:R34" si="3">H3-L3</f>
        <v>0</v>
      </c>
      <c r="S3" s="416"/>
    </row>
    <row r="4" s="187" customFormat="1" customHeight="1" spans="1:19">
      <c r="A4" s="115" t="s">
        <v>125</v>
      </c>
      <c r="B4" s="115" t="s">
        <v>126</v>
      </c>
      <c r="C4" s="156">
        <v>13849091662</v>
      </c>
      <c r="D4" s="115"/>
      <c r="E4" s="115">
        <v>-4</v>
      </c>
      <c r="F4" s="115">
        <v>1587</v>
      </c>
      <c r="G4" s="115">
        <v>125</v>
      </c>
      <c r="H4" s="132">
        <v>100000</v>
      </c>
      <c r="I4" s="132"/>
      <c r="J4" s="246">
        <v>43033</v>
      </c>
      <c r="K4" s="115"/>
      <c r="L4" s="133">
        <f t="shared" si="1"/>
        <v>100000</v>
      </c>
      <c r="M4" s="133">
        <f t="shared" si="0"/>
        <v>100000</v>
      </c>
      <c r="N4" s="115">
        <f t="shared" si="2"/>
        <v>0</v>
      </c>
      <c r="O4" s="115"/>
      <c r="P4" s="115"/>
      <c r="Q4" s="414">
        <v>44841</v>
      </c>
      <c r="R4" s="415">
        <f t="shared" si="3"/>
        <v>0</v>
      </c>
      <c r="S4" s="416"/>
    </row>
    <row r="5" s="187" customFormat="1" customHeight="1" spans="1:19">
      <c r="A5" s="115" t="s">
        <v>173</v>
      </c>
      <c r="B5" s="115" t="s">
        <v>2579</v>
      </c>
      <c r="C5" s="156">
        <v>13643838108</v>
      </c>
      <c r="D5" s="115"/>
      <c r="E5" s="115">
        <v>-4</v>
      </c>
      <c r="F5" s="115">
        <v>1482</v>
      </c>
      <c r="G5" s="115">
        <v>104</v>
      </c>
      <c r="H5" s="132">
        <v>160000</v>
      </c>
      <c r="I5" s="132"/>
      <c r="J5" s="246">
        <v>42738</v>
      </c>
      <c r="K5" s="115"/>
      <c r="L5" s="133">
        <f t="shared" si="1"/>
        <v>160000</v>
      </c>
      <c r="M5" s="133">
        <f t="shared" si="0"/>
        <v>160000</v>
      </c>
      <c r="N5" s="115">
        <f t="shared" si="2"/>
        <v>0</v>
      </c>
      <c r="O5" s="115"/>
      <c r="P5" s="115"/>
      <c r="Q5" s="414">
        <v>44841</v>
      </c>
      <c r="R5" s="415">
        <f t="shared" si="3"/>
        <v>0</v>
      </c>
      <c r="S5" s="416"/>
    </row>
    <row r="6" s="187" customFormat="1" customHeight="1" spans="1:19">
      <c r="A6" s="115" t="s">
        <v>188</v>
      </c>
      <c r="B6" s="115" t="s">
        <v>189</v>
      </c>
      <c r="C6" s="156">
        <v>18638579566</v>
      </c>
      <c r="D6" s="115" t="s">
        <v>190</v>
      </c>
      <c r="E6" s="115">
        <v>-4</v>
      </c>
      <c r="F6" s="115">
        <v>1657</v>
      </c>
      <c r="G6" s="115">
        <v>86</v>
      </c>
      <c r="H6" s="132">
        <v>170000</v>
      </c>
      <c r="I6" s="132"/>
      <c r="J6" s="246">
        <v>43211</v>
      </c>
      <c r="K6" s="115">
        <f>M6</f>
        <v>170000</v>
      </c>
      <c r="L6" s="133">
        <f t="shared" si="1"/>
        <v>170000</v>
      </c>
      <c r="M6" s="133">
        <f t="shared" si="0"/>
        <v>170000</v>
      </c>
      <c r="N6" s="115">
        <f t="shared" si="2"/>
        <v>0</v>
      </c>
      <c r="O6" s="115"/>
      <c r="P6" s="115"/>
      <c r="Q6" s="414">
        <v>44841</v>
      </c>
      <c r="R6" s="415">
        <f t="shared" si="3"/>
        <v>0</v>
      </c>
      <c r="S6" s="416"/>
    </row>
    <row r="7" s="187" customFormat="1" customHeight="1" spans="1:19">
      <c r="A7" s="115" t="s">
        <v>229</v>
      </c>
      <c r="B7" s="115" t="s">
        <v>230</v>
      </c>
      <c r="C7" s="156">
        <v>18137708561</v>
      </c>
      <c r="D7" s="115" t="s">
        <v>231</v>
      </c>
      <c r="E7" s="115">
        <v>-4</v>
      </c>
      <c r="F7" s="115">
        <v>1488</v>
      </c>
      <c r="G7" s="115">
        <v>101</v>
      </c>
      <c r="H7" s="132">
        <v>160000</v>
      </c>
      <c r="I7" s="132"/>
      <c r="J7" s="246">
        <v>43093</v>
      </c>
      <c r="K7" s="115"/>
      <c r="L7" s="133">
        <f t="shared" si="1"/>
        <v>160000</v>
      </c>
      <c r="M7" s="133">
        <f t="shared" si="0"/>
        <v>160000</v>
      </c>
      <c r="N7" s="115">
        <f t="shared" si="2"/>
        <v>0</v>
      </c>
      <c r="O7" s="115"/>
      <c r="P7" s="115"/>
      <c r="Q7" s="414">
        <v>44841</v>
      </c>
      <c r="R7" s="415">
        <f t="shared" si="3"/>
        <v>0</v>
      </c>
      <c r="S7" s="416"/>
    </row>
    <row r="8" s="187" customFormat="1" customHeight="1" spans="1:19">
      <c r="A8" s="115" t="s">
        <v>270</v>
      </c>
      <c r="B8" s="115" t="s">
        <v>2580</v>
      </c>
      <c r="C8" s="156">
        <v>13901891583</v>
      </c>
      <c r="D8" s="115"/>
      <c r="E8" s="115">
        <v>-4</v>
      </c>
      <c r="F8" s="115">
        <v>1395</v>
      </c>
      <c r="G8" s="115">
        <v>278</v>
      </c>
      <c r="H8" s="132">
        <v>160000</v>
      </c>
      <c r="I8" s="132"/>
      <c r="J8" s="246">
        <v>42755</v>
      </c>
      <c r="K8" s="115"/>
      <c r="L8" s="133">
        <f t="shared" si="1"/>
        <v>160000</v>
      </c>
      <c r="M8" s="133">
        <f t="shared" si="0"/>
        <v>160000</v>
      </c>
      <c r="N8" s="115">
        <f t="shared" si="2"/>
        <v>0</v>
      </c>
      <c r="O8" s="115"/>
      <c r="P8" s="115"/>
      <c r="Q8" s="414">
        <v>44841</v>
      </c>
      <c r="R8" s="415">
        <f t="shared" si="3"/>
        <v>0</v>
      </c>
      <c r="S8" s="416"/>
    </row>
    <row r="9" s="187" customFormat="1" customHeight="1" spans="1:19">
      <c r="A9" s="115" t="s">
        <v>287</v>
      </c>
      <c r="B9" s="115" t="s">
        <v>288</v>
      </c>
      <c r="C9" s="156">
        <v>13653796669</v>
      </c>
      <c r="D9" s="115"/>
      <c r="E9" s="115">
        <v>-4</v>
      </c>
      <c r="F9" s="115">
        <v>1590</v>
      </c>
      <c r="G9" s="115">
        <v>128</v>
      </c>
      <c r="H9" s="132">
        <v>160000</v>
      </c>
      <c r="I9" s="132"/>
      <c r="J9" s="246">
        <v>42748</v>
      </c>
      <c r="K9" s="115"/>
      <c r="L9" s="133">
        <f t="shared" si="1"/>
        <v>160000</v>
      </c>
      <c r="M9" s="133">
        <v>160000</v>
      </c>
      <c r="N9" s="115">
        <f t="shared" si="2"/>
        <v>0</v>
      </c>
      <c r="O9" s="115"/>
      <c r="P9" s="115"/>
      <c r="Q9" s="414">
        <v>44841</v>
      </c>
      <c r="R9" s="415">
        <f t="shared" si="3"/>
        <v>0</v>
      </c>
      <c r="S9" s="416"/>
    </row>
    <row r="10" s="187" customFormat="1" customHeight="1" spans="1:19">
      <c r="A10" s="115" t="s">
        <v>2581</v>
      </c>
      <c r="B10" s="115" t="s">
        <v>2582</v>
      </c>
      <c r="C10" s="156">
        <v>13949015016</v>
      </c>
      <c r="D10" s="547" t="s">
        <v>2583</v>
      </c>
      <c r="E10" s="115">
        <v>-3</v>
      </c>
      <c r="F10" s="115" t="s">
        <v>2584</v>
      </c>
      <c r="G10" s="115"/>
      <c r="H10" s="132">
        <v>5610000</v>
      </c>
      <c r="I10" s="132"/>
      <c r="J10" s="246">
        <v>43272</v>
      </c>
      <c r="K10" s="115"/>
      <c r="L10" s="133">
        <f t="shared" si="1"/>
        <v>5610000</v>
      </c>
      <c r="M10" s="133">
        <f>L10</f>
        <v>5610000</v>
      </c>
      <c r="N10" s="115">
        <f t="shared" si="2"/>
        <v>0</v>
      </c>
      <c r="O10" s="115" t="s">
        <v>2585</v>
      </c>
      <c r="P10" s="115"/>
      <c r="Q10" s="414">
        <v>44841</v>
      </c>
      <c r="R10" s="415">
        <f t="shared" si="3"/>
        <v>0</v>
      </c>
      <c r="S10" s="416"/>
    </row>
    <row r="11" s="187" customFormat="1" customHeight="1" spans="1:19">
      <c r="A11" s="115" t="s">
        <v>410</v>
      </c>
      <c r="B11" s="115" t="s">
        <v>2586</v>
      </c>
      <c r="C11" s="156">
        <v>13838692716</v>
      </c>
      <c r="D11" s="115" t="s">
        <v>412</v>
      </c>
      <c r="E11" s="115">
        <v>-4</v>
      </c>
      <c r="F11" s="115">
        <v>1578</v>
      </c>
      <c r="G11" s="115">
        <v>116</v>
      </c>
      <c r="H11" s="132">
        <v>160000</v>
      </c>
      <c r="I11" s="132"/>
      <c r="J11" s="246">
        <v>42997</v>
      </c>
      <c r="K11" s="115"/>
      <c r="L11" s="133">
        <f t="shared" si="1"/>
        <v>160000</v>
      </c>
      <c r="M11" s="133">
        <v>160000</v>
      </c>
      <c r="N11" s="115">
        <f t="shared" si="2"/>
        <v>0</v>
      </c>
      <c r="O11" s="115"/>
      <c r="P11" s="115"/>
      <c r="Q11" s="414">
        <v>44841</v>
      </c>
      <c r="R11" s="415">
        <f t="shared" si="3"/>
        <v>0</v>
      </c>
      <c r="S11" s="416"/>
    </row>
    <row r="12" s="187" customFormat="1" customHeight="1" spans="1:19">
      <c r="A12" s="115" t="s">
        <v>473</v>
      </c>
      <c r="B12" s="115" t="s">
        <v>474</v>
      </c>
      <c r="C12" s="156">
        <v>13733197018</v>
      </c>
      <c r="D12" s="115" t="s">
        <v>2587</v>
      </c>
      <c r="E12" s="115"/>
      <c r="F12" s="115" t="s">
        <v>2588</v>
      </c>
      <c r="G12" s="115"/>
      <c r="H12" s="132">
        <v>160000</v>
      </c>
      <c r="I12" s="132"/>
      <c r="J12" s="246">
        <v>43675</v>
      </c>
      <c r="K12" s="115">
        <v>160000</v>
      </c>
      <c r="L12" s="133">
        <f t="shared" si="1"/>
        <v>160000</v>
      </c>
      <c r="M12" s="133">
        <v>160000</v>
      </c>
      <c r="N12" s="115">
        <f t="shared" si="2"/>
        <v>0</v>
      </c>
      <c r="O12" s="115"/>
      <c r="P12" s="115"/>
      <c r="Q12" s="414">
        <v>44841</v>
      </c>
      <c r="R12" s="415">
        <f t="shared" si="3"/>
        <v>0</v>
      </c>
      <c r="S12" s="416"/>
    </row>
    <row r="13" s="187" customFormat="1" customHeight="1" spans="1:19">
      <c r="A13" s="115" t="s">
        <v>499</v>
      </c>
      <c r="B13" s="115" t="s">
        <v>500</v>
      </c>
      <c r="C13" s="156">
        <v>13838290722</v>
      </c>
      <c r="D13" s="115"/>
      <c r="E13" s="115">
        <v>-4</v>
      </c>
      <c r="F13" s="115">
        <v>1464</v>
      </c>
      <c r="G13" s="115">
        <v>266</v>
      </c>
      <c r="H13" s="132">
        <v>160000</v>
      </c>
      <c r="I13" s="132"/>
      <c r="J13" s="246">
        <v>42748</v>
      </c>
      <c r="K13" s="115"/>
      <c r="L13" s="133">
        <f t="shared" si="1"/>
        <v>160000</v>
      </c>
      <c r="M13" s="133">
        <f>L13</f>
        <v>160000</v>
      </c>
      <c r="N13" s="115">
        <f t="shared" si="2"/>
        <v>0</v>
      </c>
      <c r="O13" s="115"/>
      <c r="P13" s="115"/>
      <c r="Q13" s="414">
        <v>44841</v>
      </c>
      <c r="R13" s="415">
        <f t="shared" si="3"/>
        <v>0</v>
      </c>
      <c r="S13" s="416"/>
    </row>
    <row r="14" s="187" customFormat="1" customHeight="1" spans="1:19">
      <c r="A14" s="115" t="s">
        <v>642</v>
      </c>
      <c r="B14" s="115" t="s">
        <v>643</v>
      </c>
      <c r="C14" s="156">
        <v>15290436059</v>
      </c>
      <c r="D14" s="547" t="s">
        <v>644</v>
      </c>
      <c r="E14" s="115">
        <v>-4</v>
      </c>
      <c r="F14" s="115">
        <v>1468</v>
      </c>
      <c r="G14" s="115"/>
      <c r="H14" s="132">
        <v>160000</v>
      </c>
      <c r="I14" s="132"/>
      <c r="J14" s="246">
        <v>42749</v>
      </c>
      <c r="K14" s="115">
        <v>160000</v>
      </c>
      <c r="L14" s="133">
        <f t="shared" si="1"/>
        <v>160000</v>
      </c>
      <c r="M14" s="133">
        <v>160000</v>
      </c>
      <c r="N14" s="115">
        <f t="shared" si="2"/>
        <v>0</v>
      </c>
      <c r="O14" s="115"/>
      <c r="P14" s="115"/>
      <c r="Q14" s="414">
        <v>44841</v>
      </c>
      <c r="R14" s="415">
        <f t="shared" si="3"/>
        <v>0</v>
      </c>
      <c r="S14" s="416"/>
    </row>
    <row r="15" s="187" customFormat="1" customHeight="1" spans="1:19">
      <c r="A15" s="115" t="s">
        <v>665</v>
      </c>
      <c r="B15" s="115" t="s">
        <v>666</v>
      </c>
      <c r="C15" s="156">
        <v>15515190999</v>
      </c>
      <c r="D15" s="115" t="s">
        <v>667</v>
      </c>
      <c r="E15" s="115">
        <v>-4</v>
      </c>
      <c r="F15" s="115">
        <v>1399</v>
      </c>
      <c r="G15" s="115"/>
      <c r="H15" s="132">
        <v>160000</v>
      </c>
      <c r="I15" s="132"/>
      <c r="J15" s="246">
        <v>42748</v>
      </c>
      <c r="K15" s="115">
        <v>160000</v>
      </c>
      <c r="L15" s="133">
        <f t="shared" si="1"/>
        <v>160000</v>
      </c>
      <c r="M15" s="133">
        <v>160000</v>
      </c>
      <c r="N15" s="115">
        <f t="shared" si="2"/>
        <v>0</v>
      </c>
      <c r="O15" s="115"/>
      <c r="P15" s="115"/>
      <c r="Q15" s="414">
        <v>44841</v>
      </c>
      <c r="R15" s="415">
        <f t="shared" si="3"/>
        <v>0</v>
      </c>
      <c r="S15" s="416"/>
    </row>
    <row r="16" s="187" customFormat="1" customHeight="1" spans="1:19">
      <c r="A16" s="115" t="s">
        <v>665</v>
      </c>
      <c r="B16" s="115" t="s">
        <v>666</v>
      </c>
      <c r="C16" s="156">
        <v>15515190999</v>
      </c>
      <c r="D16" s="115" t="s">
        <v>667</v>
      </c>
      <c r="E16" s="115">
        <v>-4</v>
      </c>
      <c r="F16" s="115">
        <v>1401</v>
      </c>
      <c r="G16" s="115"/>
      <c r="H16" s="132">
        <v>160000</v>
      </c>
      <c r="I16" s="132"/>
      <c r="J16" s="246">
        <v>42748</v>
      </c>
      <c r="K16" s="115">
        <v>160000</v>
      </c>
      <c r="L16" s="133">
        <f t="shared" ref="L16:L25" si="4">H16+I16</f>
        <v>160000</v>
      </c>
      <c r="M16" s="133">
        <v>160000</v>
      </c>
      <c r="N16" s="115">
        <f t="shared" si="2"/>
        <v>0</v>
      </c>
      <c r="O16" s="115"/>
      <c r="P16" s="115"/>
      <c r="Q16" s="414">
        <v>44841</v>
      </c>
      <c r="R16" s="415">
        <f t="shared" si="3"/>
        <v>0</v>
      </c>
      <c r="S16" s="416"/>
    </row>
    <row r="17" s="187" customFormat="1" customHeight="1" spans="1:19">
      <c r="A17" s="115" t="s">
        <v>728</v>
      </c>
      <c r="B17" s="115" t="s">
        <v>729</v>
      </c>
      <c r="C17" s="156">
        <v>18739948799</v>
      </c>
      <c r="D17" s="115" t="s">
        <v>730</v>
      </c>
      <c r="E17" s="115">
        <v>-4</v>
      </c>
      <c r="F17" s="115">
        <v>1635</v>
      </c>
      <c r="G17" s="115">
        <v>173</v>
      </c>
      <c r="H17" s="132">
        <v>190000</v>
      </c>
      <c r="I17" s="132"/>
      <c r="J17" s="246">
        <v>43112</v>
      </c>
      <c r="K17" s="115">
        <v>190000</v>
      </c>
      <c r="L17" s="133">
        <f t="shared" si="4"/>
        <v>190000</v>
      </c>
      <c r="M17" s="133">
        <v>190000</v>
      </c>
      <c r="N17" s="115">
        <f t="shared" si="2"/>
        <v>0</v>
      </c>
      <c r="O17" s="115"/>
      <c r="P17" s="115"/>
      <c r="Q17" s="414">
        <v>44841</v>
      </c>
      <c r="R17" s="415">
        <f t="shared" si="3"/>
        <v>0</v>
      </c>
      <c r="S17" s="416"/>
    </row>
    <row r="18" s="187" customFormat="1" customHeight="1" spans="1:19">
      <c r="A18" s="115" t="s">
        <v>753</v>
      </c>
      <c r="B18" s="115" t="s">
        <v>754</v>
      </c>
      <c r="C18" s="156" t="s">
        <v>2589</v>
      </c>
      <c r="D18" s="547" t="s">
        <v>2590</v>
      </c>
      <c r="E18" s="115">
        <v>-4</v>
      </c>
      <c r="F18" s="115">
        <v>1462</v>
      </c>
      <c r="G18" s="115">
        <v>268</v>
      </c>
      <c r="H18" s="132">
        <v>160000</v>
      </c>
      <c r="I18" s="132"/>
      <c r="J18" s="246">
        <v>42748</v>
      </c>
      <c r="K18" s="115"/>
      <c r="L18" s="133">
        <f t="shared" si="4"/>
        <v>160000</v>
      </c>
      <c r="M18" s="133">
        <v>160000</v>
      </c>
      <c r="N18" s="115">
        <f t="shared" si="2"/>
        <v>0</v>
      </c>
      <c r="O18" s="115" t="s">
        <v>2591</v>
      </c>
      <c r="P18" s="115"/>
      <c r="Q18" s="414">
        <v>44841</v>
      </c>
      <c r="R18" s="415">
        <f t="shared" si="3"/>
        <v>0</v>
      </c>
      <c r="S18" s="416"/>
    </row>
    <row r="19" s="187" customFormat="1" customHeight="1" spans="1:19">
      <c r="A19" s="115" t="s">
        <v>760</v>
      </c>
      <c r="B19" s="115" t="s">
        <v>2592</v>
      </c>
      <c r="C19" s="156">
        <v>13839421861</v>
      </c>
      <c r="D19" s="115"/>
      <c r="E19" s="115">
        <v>-4</v>
      </c>
      <c r="F19" s="115">
        <v>1516</v>
      </c>
      <c r="G19" s="115">
        <v>217</v>
      </c>
      <c r="H19" s="132">
        <v>185000</v>
      </c>
      <c r="I19" s="132"/>
      <c r="J19" s="246">
        <v>43128</v>
      </c>
      <c r="K19" s="115">
        <f>M19</f>
        <v>185000</v>
      </c>
      <c r="L19" s="133">
        <f t="shared" si="4"/>
        <v>185000</v>
      </c>
      <c r="M19" s="133">
        <f>L19</f>
        <v>185000</v>
      </c>
      <c r="N19" s="115">
        <f t="shared" si="2"/>
        <v>0</v>
      </c>
      <c r="O19" s="115"/>
      <c r="P19" s="115"/>
      <c r="Q19" s="414">
        <v>44841</v>
      </c>
      <c r="R19" s="415">
        <f t="shared" si="3"/>
        <v>0</v>
      </c>
      <c r="S19" s="416"/>
    </row>
    <row r="20" s="187" customFormat="1" customHeight="1" spans="1:19">
      <c r="A20" s="115" t="s">
        <v>764</v>
      </c>
      <c r="B20" s="115" t="s">
        <v>765</v>
      </c>
      <c r="C20" s="156">
        <v>15617830016</v>
      </c>
      <c r="D20" s="115" t="s">
        <v>766</v>
      </c>
      <c r="E20" s="115">
        <v>-4</v>
      </c>
      <c r="F20" s="115">
        <v>1518</v>
      </c>
      <c r="G20" s="115">
        <v>216</v>
      </c>
      <c r="H20" s="132">
        <v>185000</v>
      </c>
      <c r="I20" s="132"/>
      <c r="J20" s="246">
        <v>43128</v>
      </c>
      <c r="K20" s="115">
        <v>1850000</v>
      </c>
      <c r="L20" s="133">
        <f t="shared" si="4"/>
        <v>185000</v>
      </c>
      <c r="M20" s="133">
        <f>L20</f>
        <v>185000</v>
      </c>
      <c r="N20" s="115">
        <f t="shared" si="2"/>
        <v>0</v>
      </c>
      <c r="O20" s="115"/>
      <c r="P20" s="115"/>
      <c r="Q20" s="414">
        <v>44841</v>
      </c>
      <c r="R20" s="415">
        <f t="shared" si="3"/>
        <v>0</v>
      </c>
      <c r="S20" s="416"/>
    </row>
    <row r="21" s="187" customFormat="1" customHeight="1" spans="1:19">
      <c r="A21" s="115" t="s">
        <v>779</v>
      </c>
      <c r="B21" s="115" t="s">
        <v>780</v>
      </c>
      <c r="C21" s="156">
        <v>15837191888</v>
      </c>
      <c r="D21" s="115" t="s">
        <v>781</v>
      </c>
      <c r="E21" s="115">
        <v>-4</v>
      </c>
      <c r="F21" s="115">
        <v>1398</v>
      </c>
      <c r="G21" s="115">
        <v>275</v>
      </c>
      <c r="H21" s="132">
        <v>180000</v>
      </c>
      <c r="I21" s="132"/>
      <c r="J21" s="246">
        <v>42959</v>
      </c>
      <c r="K21" s="115"/>
      <c r="L21" s="133">
        <f t="shared" si="4"/>
        <v>180000</v>
      </c>
      <c r="M21" s="133">
        <v>180000</v>
      </c>
      <c r="N21" s="115">
        <f t="shared" si="2"/>
        <v>0</v>
      </c>
      <c r="O21" s="115"/>
      <c r="P21" s="115"/>
      <c r="Q21" s="414">
        <v>44841</v>
      </c>
      <c r="R21" s="415">
        <f t="shared" si="3"/>
        <v>0</v>
      </c>
      <c r="S21" s="416"/>
    </row>
    <row r="22" s="187" customFormat="1" customHeight="1" spans="1:19">
      <c r="A22" s="115" t="s">
        <v>811</v>
      </c>
      <c r="B22" s="115" t="s">
        <v>812</v>
      </c>
      <c r="C22" s="156">
        <v>17737177879</v>
      </c>
      <c r="D22" s="115" t="s">
        <v>813</v>
      </c>
      <c r="E22" s="115">
        <v>-4</v>
      </c>
      <c r="F22" s="115">
        <v>1571</v>
      </c>
      <c r="G22" s="115">
        <v>109</v>
      </c>
      <c r="H22" s="132">
        <v>160000</v>
      </c>
      <c r="I22" s="132"/>
      <c r="J22" s="246">
        <v>42758</v>
      </c>
      <c r="K22" s="115"/>
      <c r="L22" s="133">
        <f t="shared" si="4"/>
        <v>160000</v>
      </c>
      <c r="M22" s="133">
        <v>160000</v>
      </c>
      <c r="N22" s="115">
        <f t="shared" si="2"/>
        <v>0</v>
      </c>
      <c r="O22" s="115"/>
      <c r="P22" s="115"/>
      <c r="Q22" s="414">
        <v>44841</v>
      </c>
      <c r="R22" s="415">
        <f t="shared" si="3"/>
        <v>0</v>
      </c>
      <c r="S22" s="416"/>
    </row>
    <row r="23" s="187" customFormat="1" customHeight="1" spans="1:19">
      <c r="A23" s="115" t="s">
        <v>833</v>
      </c>
      <c r="B23" s="115" t="s">
        <v>834</v>
      </c>
      <c r="C23" s="156" t="s">
        <v>2593</v>
      </c>
      <c r="D23" s="115" t="s">
        <v>835</v>
      </c>
      <c r="E23" s="115">
        <v>-4</v>
      </c>
      <c r="F23" s="115">
        <v>1467</v>
      </c>
      <c r="G23" s="115">
        <v>261</v>
      </c>
      <c r="H23" s="132">
        <v>160000</v>
      </c>
      <c r="I23" s="132">
        <v>5394.4</v>
      </c>
      <c r="J23" s="246">
        <v>43948</v>
      </c>
      <c r="K23" s="115"/>
      <c r="L23" s="133">
        <f t="shared" si="4"/>
        <v>165394.4</v>
      </c>
      <c r="M23" s="133">
        <v>165394.4</v>
      </c>
      <c r="N23" s="115">
        <f t="shared" si="2"/>
        <v>0</v>
      </c>
      <c r="O23" s="115" t="s">
        <v>2594</v>
      </c>
      <c r="P23" s="115"/>
      <c r="Q23" s="414">
        <v>44841</v>
      </c>
      <c r="R23" s="415">
        <f t="shared" si="3"/>
        <v>-5394.39999999999</v>
      </c>
      <c r="S23" s="416"/>
    </row>
    <row r="24" s="187" customFormat="1" customHeight="1" spans="1:19">
      <c r="A24" s="115" t="s">
        <v>833</v>
      </c>
      <c r="B24" s="115" t="s">
        <v>834</v>
      </c>
      <c r="C24" s="156" t="s">
        <v>2593</v>
      </c>
      <c r="D24" s="115" t="s">
        <v>835</v>
      </c>
      <c r="E24" s="115">
        <v>-4</v>
      </c>
      <c r="F24" s="115">
        <v>1577</v>
      </c>
      <c r="G24" s="115">
        <v>115</v>
      </c>
      <c r="H24" s="132">
        <v>160000</v>
      </c>
      <c r="I24" s="132">
        <v>6963.4</v>
      </c>
      <c r="J24" s="246">
        <v>43945</v>
      </c>
      <c r="K24" s="115"/>
      <c r="L24" s="133">
        <f t="shared" si="4"/>
        <v>166963.4</v>
      </c>
      <c r="M24" s="133">
        <v>166963.4</v>
      </c>
      <c r="N24" s="115">
        <f t="shared" si="2"/>
        <v>0</v>
      </c>
      <c r="O24" s="115" t="s">
        <v>2594</v>
      </c>
      <c r="P24" s="115"/>
      <c r="Q24" s="414">
        <v>44841</v>
      </c>
      <c r="R24" s="415">
        <f t="shared" si="3"/>
        <v>-6963.39999999999</v>
      </c>
      <c r="S24" s="416"/>
    </row>
    <row r="25" s="187" customFormat="1" customHeight="1" spans="1:19">
      <c r="A25" s="115" t="s">
        <v>918</v>
      </c>
      <c r="B25" s="400" t="s">
        <v>2595</v>
      </c>
      <c r="C25" s="156">
        <v>15981991266</v>
      </c>
      <c r="D25" s="115" t="s">
        <v>920</v>
      </c>
      <c r="E25" s="115">
        <v>-4</v>
      </c>
      <c r="F25" s="115">
        <v>1517</v>
      </c>
      <c r="G25" s="115">
        <v>225</v>
      </c>
      <c r="H25" s="132">
        <v>160000</v>
      </c>
      <c r="I25" s="132"/>
      <c r="J25" s="246">
        <v>42838</v>
      </c>
      <c r="K25" s="115">
        <f>M25</f>
        <v>160000</v>
      </c>
      <c r="L25" s="133">
        <f t="shared" si="4"/>
        <v>160000</v>
      </c>
      <c r="M25" s="133">
        <v>160000</v>
      </c>
      <c r="N25" s="115">
        <f t="shared" si="2"/>
        <v>0</v>
      </c>
      <c r="O25" s="115" t="s">
        <v>2596</v>
      </c>
      <c r="P25" s="115" t="s">
        <v>886</v>
      </c>
      <c r="Q25" s="414">
        <v>44842</v>
      </c>
      <c r="R25" s="415">
        <f t="shared" si="3"/>
        <v>0</v>
      </c>
      <c r="S25" s="416"/>
    </row>
    <row r="26" s="187" customFormat="1" customHeight="1" spans="1:19">
      <c r="A26" s="115" t="s">
        <v>929</v>
      </c>
      <c r="B26" s="115" t="s">
        <v>930</v>
      </c>
      <c r="C26" s="156">
        <v>18638566949</v>
      </c>
      <c r="D26" s="115"/>
      <c r="E26" s="115">
        <v>-4</v>
      </c>
      <c r="F26" s="115">
        <v>1538</v>
      </c>
      <c r="G26" s="115">
        <v>206</v>
      </c>
      <c r="H26" s="132">
        <v>160000</v>
      </c>
      <c r="I26" s="132"/>
      <c r="J26" s="246">
        <v>42748</v>
      </c>
      <c r="K26" s="115"/>
      <c r="L26" s="133">
        <f t="shared" ref="L26:L35" si="5">H26+I26</f>
        <v>160000</v>
      </c>
      <c r="M26" s="133">
        <v>160000</v>
      </c>
      <c r="N26" s="115">
        <f t="shared" si="2"/>
        <v>0</v>
      </c>
      <c r="O26" s="115"/>
      <c r="P26" s="115" t="s">
        <v>900</v>
      </c>
      <c r="Q26" s="414">
        <v>44842</v>
      </c>
      <c r="R26" s="415">
        <f t="shared" si="3"/>
        <v>0</v>
      </c>
      <c r="S26" s="416"/>
    </row>
    <row r="27" s="187" customFormat="1" customHeight="1" spans="1:19">
      <c r="A27" s="115" t="s">
        <v>929</v>
      </c>
      <c r="B27" s="115" t="s">
        <v>930</v>
      </c>
      <c r="C27" s="156">
        <v>18638566949</v>
      </c>
      <c r="D27" s="115"/>
      <c r="E27" s="115">
        <v>-4</v>
      </c>
      <c r="F27" s="115">
        <v>1540</v>
      </c>
      <c r="G27" s="115">
        <v>205</v>
      </c>
      <c r="H27" s="132">
        <v>160000</v>
      </c>
      <c r="I27" s="132"/>
      <c r="J27" s="246">
        <v>42748</v>
      </c>
      <c r="K27" s="115"/>
      <c r="L27" s="133">
        <f t="shared" si="5"/>
        <v>160000</v>
      </c>
      <c r="M27" s="133">
        <v>160000</v>
      </c>
      <c r="N27" s="115">
        <f t="shared" si="2"/>
        <v>0</v>
      </c>
      <c r="O27" s="115"/>
      <c r="P27" s="115" t="s">
        <v>900</v>
      </c>
      <c r="Q27" s="414">
        <v>44842</v>
      </c>
      <c r="R27" s="415">
        <f t="shared" si="3"/>
        <v>0</v>
      </c>
      <c r="S27" s="416"/>
    </row>
    <row r="28" s="187" customFormat="1" customHeight="1" spans="1:19">
      <c r="A28" s="115" t="s">
        <v>933</v>
      </c>
      <c r="B28" s="115" t="s">
        <v>934</v>
      </c>
      <c r="C28" s="156">
        <v>18638796362</v>
      </c>
      <c r="D28" s="115"/>
      <c r="E28" s="115">
        <v>-4</v>
      </c>
      <c r="F28" s="115">
        <v>1636</v>
      </c>
      <c r="G28" s="115">
        <v>174</v>
      </c>
      <c r="H28" s="132">
        <v>160000</v>
      </c>
      <c r="I28" s="132"/>
      <c r="J28" s="246">
        <v>42748</v>
      </c>
      <c r="K28" s="115"/>
      <c r="L28" s="133">
        <f t="shared" si="5"/>
        <v>160000</v>
      </c>
      <c r="M28" s="133">
        <v>160000</v>
      </c>
      <c r="N28" s="115">
        <f t="shared" si="2"/>
        <v>0</v>
      </c>
      <c r="O28" s="115"/>
      <c r="P28" s="115" t="s">
        <v>900</v>
      </c>
      <c r="Q28" s="414">
        <v>44842</v>
      </c>
      <c r="R28" s="415">
        <f t="shared" si="3"/>
        <v>0</v>
      </c>
      <c r="S28" s="416"/>
    </row>
    <row r="29" s="187" customFormat="1" customHeight="1" spans="1:19">
      <c r="A29" s="115" t="s">
        <v>947</v>
      </c>
      <c r="B29" s="115" t="s">
        <v>948</v>
      </c>
      <c r="C29" s="156">
        <v>13949071031</v>
      </c>
      <c r="D29" s="115"/>
      <c r="E29" s="115">
        <v>-4</v>
      </c>
      <c r="F29" s="115">
        <v>1660</v>
      </c>
      <c r="G29" s="115">
        <v>82</v>
      </c>
      <c r="H29" s="132">
        <v>160000</v>
      </c>
      <c r="I29" s="132"/>
      <c r="J29" s="246">
        <v>42748</v>
      </c>
      <c r="K29" s="115"/>
      <c r="L29" s="133">
        <f t="shared" si="5"/>
        <v>160000</v>
      </c>
      <c r="M29" s="133">
        <v>160000</v>
      </c>
      <c r="N29" s="115">
        <f t="shared" si="2"/>
        <v>0</v>
      </c>
      <c r="O29" s="115"/>
      <c r="P29" s="115" t="s">
        <v>854</v>
      </c>
      <c r="Q29" s="414">
        <v>44842</v>
      </c>
      <c r="R29" s="415">
        <f t="shared" si="3"/>
        <v>0</v>
      </c>
      <c r="S29" s="416"/>
    </row>
    <row r="30" s="187" customFormat="1" customHeight="1" spans="1:19">
      <c r="A30" s="115" t="s">
        <v>961</v>
      </c>
      <c r="B30" s="115" t="s">
        <v>2597</v>
      </c>
      <c r="C30" s="156">
        <v>15937180093</v>
      </c>
      <c r="D30" s="115"/>
      <c r="E30" s="115">
        <v>-4</v>
      </c>
      <c r="F30" s="115">
        <v>1662</v>
      </c>
      <c r="G30" s="115">
        <v>83</v>
      </c>
      <c r="H30" s="132">
        <v>160000</v>
      </c>
      <c r="I30" s="132"/>
      <c r="J30" s="246">
        <v>42748</v>
      </c>
      <c r="K30" s="115"/>
      <c r="L30" s="133">
        <f t="shared" si="5"/>
        <v>160000</v>
      </c>
      <c r="M30" s="133">
        <v>160000</v>
      </c>
      <c r="N30" s="115">
        <f t="shared" si="2"/>
        <v>0</v>
      </c>
      <c r="O30" s="115"/>
      <c r="P30" s="115" t="s">
        <v>900</v>
      </c>
      <c r="Q30" s="414">
        <v>44842</v>
      </c>
      <c r="R30" s="415">
        <f t="shared" si="3"/>
        <v>0</v>
      </c>
      <c r="S30" s="416"/>
    </row>
    <row r="31" customHeight="1" spans="1:23">
      <c r="A31" s="115" t="s">
        <v>985</v>
      </c>
      <c r="B31" s="115" t="s">
        <v>986</v>
      </c>
      <c r="C31" s="156">
        <v>15544080000</v>
      </c>
      <c r="D31" s="115"/>
      <c r="E31" s="115">
        <v>-4</v>
      </c>
      <c r="F31" s="115">
        <v>1574</v>
      </c>
      <c r="G31" s="115">
        <v>112</v>
      </c>
      <c r="H31" s="132">
        <v>160000</v>
      </c>
      <c r="I31" s="132"/>
      <c r="J31" s="156"/>
      <c r="K31" s="115"/>
      <c r="L31" s="133">
        <f t="shared" si="5"/>
        <v>160000</v>
      </c>
      <c r="M31" s="133">
        <v>160000</v>
      </c>
      <c r="N31" s="115">
        <f t="shared" si="2"/>
        <v>0</v>
      </c>
      <c r="O31" s="181"/>
      <c r="P31" s="115" t="s">
        <v>900</v>
      </c>
      <c r="Q31" s="414">
        <v>44843</v>
      </c>
      <c r="R31" s="415">
        <f t="shared" si="3"/>
        <v>0</v>
      </c>
      <c r="S31" s="96"/>
      <c r="T31" s="96"/>
      <c r="U31" s="96"/>
      <c r="V31" s="96"/>
      <c r="W31" s="96"/>
    </row>
    <row r="32" customHeight="1" spans="1:23">
      <c r="A32" s="115" t="s">
        <v>1015</v>
      </c>
      <c r="B32" s="115" t="s">
        <v>2598</v>
      </c>
      <c r="C32" s="156" t="s">
        <v>2599</v>
      </c>
      <c r="D32" s="547" t="s">
        <v>2600</v>
      </c>
      <c r="E32" s="115">
        <v>-4</v>
      </c>
      <c r="F32" s="115">
        <v>1570</v>
      </c>
      <c r="G32" s="115">
        <v>108</v>
      </c>
      <c r="H32" s="132">
        <v>160000</v>
      </c>
      <c r="I32" s="132"/>
      <c r="J32" s="246" t="s">
        <v>1420</v>
      </c>
      <c r="K32" s="115"/>
      <c r="L32" s="133">
        <f t="shared" si="5"/>
        <v>160000</v>
      </c>
      <c r="M32" s="133">
        <v>160000</v>
      </c>
      <c r="N32" s="115">
        <f t="shared" si="2"/>
        <v>0</v>
      </c>
      <c r="O32" s="115"/>
      <c r="P32" s="115" t="s">
        <v>886</v>
      </c>
      <c r="Q32" s="414">
        <v>44843</v>
      </c>
      <c r="R32" s="415">
        <f t="shared" si="3"/>
        <v>0</v>
      </c>
      <c r="S32" s="187"/>
      <c r="T32" s="187"/>
      <c r="U32" s="187"/>
      <c r="V32" s="187"/>
      <c r="W32" s="187"/>
    </row>
    <row r="33" customHeight="1" spans="1:18">
      <c r="A33" s="83" t="s">
        <v>1024</v>
      </c>
      <c r="B33" s="83" t="s">
        <v>1025</v>
      </c>
      <c r="C33" s="83">
        <v>13526180562</v>
      </c>
      <c r="D33" s="401" t="s">
        <v>1026</v>
      </c>
      <c r="E33" s="83">
        <v>-4</v>
      </c>
      <c r="F33" s="83">
        <v>1470</v>
      </c>
      <c r="G33" s="83">
        <v>258</v>
      </c>
      <c r="H33" s="295">
        <v>170000</v>
      </c>
      <c r="I33" s="295"/>
      <c r="J33" s="294">
        <v>43225</v>
      </c>
      <c r="K33" s="404">
        <f>H33</f>
        <v>170000</v>
      </c>
      <c r="L33" s="133">
        <f t="shared" si="5"/>
        <v>170000</v>
      </c>
      <c r="M33" s="407">
        <f>H33</f>
        <v>170000</v>
      </c>
      <c r="N33" s="115">
        <f t="shared" si="2"/>
        <v>0</v>
      </c>
      <c r="O33" s="401"/>
      <c r="P33" s="115" t="s">
        <v>854</v>
      </c>
      <c r="Q33" s="414">
        <v>44842</v>
      </c>
      <c r="R33" s="415">
        <f t="shared" si="3"/>
        <v>0</v>
      </c>
    </row>
    <row r="34" s="187" customFormat="1" customHeight="1" spans="1:23">
      <c r="A34" s="83" t="s">
        <v>1067</v>
      </c>
      <c r="B34" s="83" t="s">
        <v>1068</v>
      </c>
      <c r="C34" s="83">
        <v>18603869007</v>
      </c>
      <c r="D34" s="401"/>
      <c r="E34" s="83">
        <v>-4</v>
      </c>
      <c r="F34" s="83">
        <v>1481</v>
      </c>
      <c r="G34" s="83">
        <v>103</v>
      </c>
      <c r="H34" s="295">
        <v>160000</v>
      </c>
      <c r="I34" s="295"/>
      <c r="J34" s="294">
        <v>42748</v>
      </c>
      <c r="K34" s="404"/>
      <c r="L34" s="133">
        <f t="shared" si="5"/>
        <v>160000</v>
      </c>
      <c r="M34" s="407">
        <f>H34</f>
        <v>160000</v>
      </c>
      <c r="N34" s="115">
        <f t="shared" si="2"/>
        <v>0</v>
      </c>
      <c r="O34" s="401"/>
      <c r="P34" s="115" t="s">
        <v>854</v>
      </c>
      <c r="Q34" s="414">
        <v>44842</v>
      </c>
      <c r="R34" s="415">
        <f t="shared" si="3"/>
        <v>0</v>
      </c>
      <c r="S34" s="206"/>
      <c r="T34" s="202"/>
      <c r="U34" s="202"/>
      <c r="V34" s="202"/>
      <c r="W34" s="202"/>
    </row>
    <row r="35" s="96" customFormat="1" customHeight="1" spans="1:23">
      <c r="A35" s="83" t="s">
        <v>1067</v>
      </c>
      <c r="B35" s="83" t="s">
        <v>1068</v>
      </c>
      <c r="C35" s="83">
        <v>18603869007</v>
      </c>
      <c r="D35" s="401"/>
      <c r="E35" s="83">
        <v>-4</v>
      </c>
      <c r="F35" s="83">
        <v>1483</v>
      </c>
      <c r="G35" s="83">
        <v>105</v>
      </c>
      <c r="H35" s="295">
        <v>160000</v>
      </c>
      <c r="I35" s="295"/>
      <c r="J35" s="294">
        <v>42748</v>
      </c>
      <c r="K35" s="83"/>
      <c r="L35" s="133">
        <f t="shared" si="5"/>
        <v>160000</v>
      </c>
      <c r="M35" s="407">
        <f>H35</f>
        <v>160000</v>
      </c>
      <c r="N35" s="115">
        <f t="shared" si="2"/>
        <v>0</v>
      </c>
      <c r="O35" s="401"/>
      <c r="P35" s="115" t="s">
        <v>854</v>
      </c>
      <c r="Q35" s="414">
        <v>44842</v>
      </c>
      <c r="R35" s="415">
        <f t="shared" ref="R35:R70" si="6">H35-L35</f>
        <v>0</v>
      </c>
      <c r="S35" s="206"/>
      <c r="T35" s="202"/>
      <c r="U35" s="202"/>
      <c r="V35" s="202"/>
      <c r="W35" s="202"/>
    </row>
    <row r="36" customHeight="1" spans="1:18">
      <c r="A36" s="83" t="s">
        <v>1097</v>
      </c>
      <c r="B36" s="83" t="s">
        <v>1098</v>
      </c>
      <c r="C36" s="83">
        <v>18638572827</v>
      </c>
      <c r="D36" s="401"/>
      <c r="E36" s="83">
        <v>-4</v>
      </c>
      <c r="F36" s="83">
        <v>1396</v>
      </c>
      <c r="G36" s="83">
        <v>277</v>
      </c>
      <c r="H36" s="295">
        <v>160000</v>
      </c>
      <c r="I36" s="295"/>
      <c r="J36" s="294">
        <v>42749</v>
      </c>
      <c r="K36" s="83"/>
      <c r="L36" s="133">
        <f t="shared" ref="L36:L70" si="7">H36+I36</f>
        <v>160000</v>
      </c>
      <c r="M36" s="407">
        <f>H36</f>
        <v>160000</v>
      </c>
      <c r="N36" s="115">
        <f t="shared" si="2"/>
        <v>0</v>
      </c>
      <c r="O36" s="401"/>
      <c r="P36" s="115" t="s">
        <v>974</v>
      </c>
      <c r="Q36" s="414">
        <v>44844</v>
      </c>
      <c r="R36" s="415">
        <f t="shared" si="6"/>
        <v>0</v>
      </c>
    </row>
    <row r="37" customHeight="1" spans="1:18">
      <c r="A37" s="83" t="s">
        <v>1097</v>
      </c>
      <c r="B37" s="83" t="s">
        <v>1098</v>
      </c>
      <c r="C37" s="83">
        <v>18638572827</v>
      </c>
      <c r="D37" s="401"/>
      <c r="E37" s="83">
        <v>-4</v>
      </c>
      <c r="F37" s="83">
        <v>1397</v>
      </c>
      <c r="G37" s="83">
        <v>276</v>
      </c>
      <c r="H37" s="295">
        <v>160000</v>
      </c>
      <c r="I37" s="295"/>
      <c r="J37" s="294">
        <v>42749</v>
      </c>
      <c r="K37" s="83"/>
      <c r="L37" s="133">
        <f t="shared" si="7"/>
        <v>160000</v>
      </c>
      <c r="M37" s="407">
        <f>H37</f>
        <v>160000</v>
      </c>
      <c r="N37" s="115">
        <f t="shared" ref="N37:N43" si="8">L37-M37</f>
        <v>0</v>
      </c>
      <c r="O37" s="401"/>
      <c r="P37" s="115" t="s">
        <v>974</v>
      </c>
      <c r="Q37" s="414">
        <v>44844</v>
      </c>
      <c r="R37" s="415">
        <f t="shared" si="6"/>
        <v>0</v>
      </c>
    </row>
    <row r="38" customHeight="1" spans="1:18">
      <c r="A38" s="83" t="s">
        <v>1150</v>
      </c>
      <c r="B38" s="83" t="s">
        <v>1151</v>
      </c>
      <c r="C38" s="83">
        <v>13782192996</v>
      </c>
      <c r="D38" s="401" t="s">
        <v>1152</v>
      </c>
      <c r="E38" s="83">
        <v>-4</v>
      </c>
      <c r="F38" s="83">
        <v>1490</v>
      </c>
      <c r="G38" s="83">
        <v>100</v>
      </c>
      <c r="H38" s="295">
        <v>160000</v>
      </c>
      <c r="I38" s="295"/>
      <c r="J38" s="294">
        <v>42983</v>
      </c>
      <c r="K38" s="83">
        <f>M38</f>
        <v>160000</v>
      </c>
      <c r="L38" s="133">
        <f t="shared" si="7"/>
        <v>160000</v>
      </c>
      <c r="M38" s="407">
        <v>160000</v>
      </c>
      <c r="N38" s="115">
        <f t="shared" si="8"/>
        <v>0</v>
      </c>
      <c r="O38" s="401"/>
      <c r="P38" s="115" t="s">
        <v>886</v>
      </c>
      <c r="Q38" s="414">
        <v>44844</v>
      </c>
      <c r="R38" s="415">
        <f t="shared" si="6"/>
        <v>0</v>
      </c>
    </row>
    <row r="39" customHeight="1" spans="1:18">
      <c r="A39" s="83" t="s">
        <v>1184</v>
      </c>
      <c r="B39" s="83" t="s">
        <v>2601</v>
      </c>
      <c r="C39" s="83" t="s">
        <v>2602</v>
      </c>
      <c r="D39" s="401" t="s">
        <v>2603</v>
      </c>
      <c r="E39" s="83">
        <v>-4</v>
      </c>
      <c r="F39" s="83">
        <v>1009</v>
      </c>
      <c r="G39" s="83" t="s">
        <v>2604</v>
      </c>
      <c r="H39" s="295">
        <v>150000</v>
      </c>
      <c r="I39" s="295"/>
      <c r="J39" s="294">
        <v>43473</v>
      </c>
      <c r="K39" s="83"/>
      <c r="L39" s="133">
        <f t="shared" si="7"/>
        <v>150000</v>
      </c>
      <c r="M39" s="407">
        <v>150000</v>
      </c>
      <c r="N39" s="115">
        <f t="shared" si="8"/>
        <v>0</v>
      </c>
      <c r="O39" s="401"/>
      <c r="P39" s="115" t="s">
        <v>886</v>
      </c>
      <c r="Q39" s="414">
        <v>44844</v>
      </c>
      <c r="R39" s="415">
        <f t="shared" si="6"/>
        <v>0</v>
      </c>
    </row>
    <row r="40" customHeight="1" spans="1:18">
      <c r="A40" s="83" t="s">
        <v>1184</v>
      </c>
      <c r="B40" s="83" t="s">
        <v>2605</v>
      </c>
      <c r="C40" s="83" t="s">
        <v>2602</v>
      </c>
      <c r="D40" s="401" t="s">
        <v>2606</v>
      </c>
      <c r="E40" s="83">
        <v>-4</v>
      </c>
      <c r="F40" s="83">
        <v>1010</v>
      </c>
      <c r="G40" s="83" t="s">
        <v>2607</v>
      </c>
      <c r="H40" s="295">
        <v>150000</v>
      </c>
      <c r="I40" s="295"/>
      <c r="J40" s="294">
        <v>43473</v>
      </c>
      <c r="K40" s="83"/>
      <c r="L40" s="133">
        <f t="shared" si="7"/>
        <v>150000</v>
      </c>
      <c r="M40" s="407">
        <v>150000</v>
      </c>
      <c r="N40" s="115">
        <f t="shared" si="8"/>
        <v>0</v>
      </c>
      <c r="O40" s="401"/>
      <c r="P40" s="115" t="s">
        <v>886</v>
      </c>
      <c r="Q40" s="414">
        <v>44844</v>
      </c>
      <c r="R40" s="415">
        <f t="shared" si="6"/>
        <v>0</v>
      </c>
    </row>
    <row r="41" customHeight="1" spans="1:18">
      <c r="A41" s="83" t="s">
        <v>1211</v>
      </c>
      <c r="B41" s="83" t="s">
        <v>1212</v>
      </c>
      <c r="C41" s="83">
        <v>13203721236</v>
      </c>
      <c r="D41" s="402" t="s">
        <v>1213</v>
      </c>
      <c r="E41" s="83">
        <v>-4</v>
      </c>
      <c r="F41" s="83" t="s">
        <v>2608</v>
      </c>
      <c r="G41" s="83"/>
      <c r="H41" s="295">
        <v>100000</v>
      </c>
      <c r="I41" s="295"/>
      <c r="J41" s="294">
        <v>42748</v>
      </c>
      <c r="K41" s="83"/>
      <c r="L41" s="133">
        <f t="shared" si="7"/>
        <v>100000</v>
      </c>
      <c r="M41" s="407">
        <v>100000</v>
      </c>
      <c r="N41" s="115">
        <f t="shared" si="8"/>
        <v>0</v>
      </c>
      <c r="O41" s="401"/>
      <c r="P41" s="115" t="s">
        <v>886</v>
      </c>
      <c r="Q41" s="414">
        <v>44845</v>
      </c>
      <c r="R41" s="415">
        <f t="shared" si="6"/>
        <v>0</v>
      </c>
    </row>
    <row r="42" customHeight="1" spans="1:18">
      <c r="A42" s="115" t="s">
        <v>1326</v>
      </c>
      <c r="B42" s="115" t="s">
        <v>1327</v>
      </c>
      <c r="C42" s="115">
        <v>18537196331</v>
      </c>
      <c r="D42" s="193" t="s">
        <v>1328</v>
      </c>
      <c r="E42" s="115">
        <v>-4</v>
      </c>
      <c r="F42" s="115">
        <v>1515</v>
      </c>
      <c r="G42" s="115">
        <v>224</v>
      </c>
      <c r="H42" s="132">
        <v>170000</v>
      </c>
      <c r="I42" s="132"/>
      <c r="J42" s="246">
        <v>43130</v>
      </c>
      <c r="K42" s="115">
        <f>M42</f>
        <v>170000</v>
      </c>
      <c r="L42" s="133">
        <f t="shared" si="7"/>
        <v>170000</v>
      </c>
      <c r="M42" s="133">
        <v>170000</v>
      </c>
      <c r="N42" s="115">
        <f t="shared" si="8"/>
        <v>0</v>
      </c>
      <c r="O42" s="181"/>
      <c r="P42" s="115" t="s">
        <v>886</v>
      </c>
      <c r="Q42" s="414">
        <v>44846</v>
      </c>
      <c r="R42" s="415">
        <f t="shared" si="6"/>
        <v>0</v>
      </c>
    </row>
    <row r="43" customHeight="1" spans="1:18">
      <c r="A43" s="115" t="s">
        <v>1357</v>
      </c>
      <c r="B43" s="115" t="s">
        <v>1358</v>
      </c>
      <c r="C43" s="239">
        <v>18137823633</v>
      </c>
      <c r="D43" s="156" t="s">
        <v>1359</v>
      </c>
      <c r="E43" s="115">
        <v>-4</v>
      </c>
      <c r="F43" s="115">
        <v>1479</v>
      </c>
      <c r="G43" s="115">
        <v>60</v>
      </c>
      <c r="H43" s="132">
        <v>130000</v>
      </c>
      <c r="I43" s="132"/>
      <c r="J43" s="246">
        <v>43032</v>
      </c>
      <c r="K43" s="115"/>
      <c r="L43" s="133">
        <f t="shared" si="7"/>
        <v>130000</v>
      </c>
      <c r="M43" s="133">
        <f>H43</f>
        <v>130000</v>
      </c>
      <c r="N43" s="115">
        <f t="shared" si="8"/>
        <v>0</v>
      </c>
      <c r="O43" s="181"/>
      <c r="P43" s="115" t="s">
        <v>974</v>
      </c>
      <c r="Q43" s="414">
        <v>44846</v>
      </c>
      <c r="R43" s="415">
        <f t="shared" si="6"/>
        <v>0</v>
      </c>
    </row>
    <row r="44" customHeight="1" spans="1:18">
      <c r="A44" s="115" t="s">
        <v>1379</v>
      </c>
      <c r="B44" s="115" t="s">
        <v>1380</v>
      </c>
      <c r="C44" s="156">
        <v>13849198281</v>
      </c>
      <c r="D44" s="115"/>
      <c r="E44" s="115">
        <v>-4</v>
      </c>
      <c r="F44" s="115">
        <v>1406</v>
      </c>
      <c r="G44" s="115">
        <v>289</v>
      </c>
      <c r="H44" s="132">
        <v>160000</v>
      </c>
      <c r="I44" s="132"/>
      <c r="J44" s="246">
        <v>43093</v>
      </c>
      <c r="K44" s="115"/>
      <c r="L44" s="133">
        <f t="shared" si="7"/>
        <v>160000</v>
      </c>
      <c r="M44" s="133">
        <f>H44</f>
        <v>160000</v>
      </c>
      <c r="N44" s="115">
        <f t="shared" ref="N43:N70" si="9">L44-M44</f>
        <v>0</v>
      </c>
      <c r="O44" s="181"/>
      <c r="P44" s="115" t="s">
        <v>974</v>
      </c>
      <c r="Q44" s="414">
        <v>44846</v>
      </c>
      <c r="R44" s="415">
        <f t="shared" si="6"/>
        <v>0</v>
      </c>
    </row>
    <row r="45" customHeight="1" spans="1:18">
      <c r="A45" s="115" t="s">
        <v>1379</v>
      </c>
      <c r="B45" s="115" t="s">
        <v>205</v>
      </c>
      <c r="C45" s="156">
        <v>13849198281</v>
      </c>
      <c r="D45" s="115"/>
      <c r="E45" s="115">
        <v>-4</v>
      </c>
      <c r="F45" s="115">
        <v>1407</v>
      </c>
      <c r="G45" s="115">
        <v>290</v>
      </c>
      <c r="H45" s="132">
        <v>160000</v>
      </c>
      <c r="I45" s="132"/>
      <c r="J45" s="246">
        <v>43093</v>
      </c>
      <c r="K45" s="115"/>
      <c r="L45" s="133">
        <f t="shared" si="7"/>
        <v>160000</v>
      </c>
      <c r="M45" s="133">
        <f>H45</f>
        <v>160000</v>
      </c>
      <c r="N45" s="115">
        <f t="shared" si="9"/>
        <v>0</v>
      </c>
      <c r="O45" s="181"/>
      <c r="P45" s="115" t="s">
        <v>974</v>
      </c>
      <c r="Q45" s="414">
        <v>44846</v>
      </c>
      <c r="R45" s="415">
        <f t="shared" si="6"/>
        <v>0</v>
      </c>
    </row>
    <row r="46" customHeight="1" spans="1:23">
      <c r="A46" s="115" t="s">
        <v>1454</v>
      </c>
      <c r="B46" s="115" t="s">
        <v>1455</v>
      </c>
      <c r="C46" s="239"/>
      <c r="D46" s="156"/>
      <c r="E46" s="115">
        <v>-4</v>
      </c>
      <c r="F46" s="115">
        <v>1491</v>
      </c>
      <c r="G46" s="115">
        <v>66</v>
      </c>
      <c r="H46" s="132">
        <v>50000</v>
      </c>
      <c r="I46" s="132"/>
      <c r="J46" s="246">
        <v>43130</v>
      </c>
      <c r="K46" s="133"/>
      <c r="L46" s="133">
        <f t="shared" si="7"/>
        <v>50000</v>
      </c>
      <c r="M46" s="133">
        <v>50000</v>
      </c>
      <c r="N46" s="115">
        <f t="shared" si="9"/>
        <v>0</v>
      </c>
      <c r="O46" s="115" t="s">
        <v>2609</v>
      </c>
      <c r="P46" s="115" t="s">
        <v>900</v>
      </c>
      <c r="Q46" s="414">
        <v>44864</v>
      </c>
      <c r="R46" s="415">
        <f t="shared" si="6"/>
        <v>0</v>
      </c>
      <c r="S46" s="96"/>
      <c r="T46" s="96"/>
      <c r="U46" s="96"/>
      <c r="V46" s="96"/>
      <c r="W46" s="96"/>
    </row>
    <row r="47" customHeight="1" spans="1:23">
      <c r="A47" s="115" t="s">
        <v>1469</v>
      </c>
      <c r="B47" s="115" t="s">
        <v>1470</v>
      </c>
      <c r="C47" s="155" t="s">
        <v>2610</v>
      </c>
      <c r="D47" s="156"/>
      <c r="E47" s="115">
        <v>-4</v>
      </c>
      <c r="F47" s="115">
        <v>1579</v>
      </c>
      <c r="G47" s="115">
        <v>117</v>
      </c>
      <c r="H47" s="132">
        <v>190000</v>
      </c>
      <c r="I47" s="132"/>
      <c r="J47" s="408">
        <v>43100</v>
      </c>
      <c r="K47" s="133">
        <f>H47</f>
        <v>190000</v>
      </c>
      <c r="L47" s="133">
        <f t="shared" si="7"/>
        <v>190000</v>
      </c>
      <c r="M47" s="133">
        <v>190000</v>
      </c>
      <c r="N47" s="115">
        <f t="shared" si="9"/>
        <v>0</v>
      </c>
      <c r="O47" s="181"/>
      <c r="P47" s="115" t="s">
        <v>900</v>
      </c>
      <c r="Q47" s="414">
        <v>44864</v>
      </c>
      <c r="R47" s="415">
        <f t="shared" si="6"/>
        <v>0</v>
      </c>
      <c r="S47" s="96"/>
      <c r="T47" s="96"/>
      <c r="U47" s="96"/>
      <c r="V47" s="96"/>
      <c r="W47" s="96"/>
    </row>
    <row r="48" s="96" customFormat="1" customHeight="1" spans="1:18">
      <c r="A48" s="115" t="s">
        <v>1483</v>
      </c>
      <c r="B48" s="115" t="s">
        <v>1484</v>
      </c>
      <c r="C48" s="156">
        <v>13838381885</v>
      </c>
      <c r="D48" s="115"/>
      <c r="E48" s="115">
        <v>-4</v>
      </c>
      <c r="F48" s="115">
        <v>1525</v>
      </c>
      <c r="G48" s="115">
        <v>229</v>
      </c>
      <c r="H48" s="132">
        <v>160000</v>
      </c>
      <c r="I48" s="132"/>
      <c r="J48" s="246">
        <v>42751</v>
      </c>
      <c r="K48" s="133"/>
      <c r="L48" s="133">
        <f t="shared" si="7"/>
        <v>160000</v>
      </c>
      <c r="M48" s="133">
        <v>160000</v>
      </c>
      <c r="N48" s="115">
        <f t="shared" si="9"/>
        <v>0</v>
      </c>
      <c r="O48" s="181"/>
      <c r="P48" s="115" t="s">
        <v>900</v>
      </c>
      <c r="Q48" s="414">
        <v>44865</v>
      </c>
      <c r="R48" s="415">
        <f t="shared" si="6"/>
        <v>0</v>
      </c>
    </row>
    <row r="49" s="202" customFormat="1" customHeight="1" spans="1:19">
      <c r="A49" s="106" t="s">
        <v>1610</v>
      </c>
      <c r="B49" s="115" t="s">
        <v>1611</v>
      </c>
      <c r="C49" s="156">
        <v>13592611139</v>
      </c>
      <c r="D49" s="115" t="s">
        <v>2611</v>
      </c>
      <c r="E49" s="115">
        <v>-4</v>
      </c>
      <c r="F49" s="115">
        <v>1494</v>
      </c>
      <c r="G49" s="115">
        <v>98</v>
      </c>
      <c r="H49" s="132">
        <v>160000</v>
      </c>
      <c r="I49" s="132"/>
      <c r="J49" s="246">
        <v>43642</v>
      </c>
      <c r="K49" s="115" t="s">
        <v>2612</v>
      </c>
      <c r="L49" s="133">
        <f t="shared" si="7"/>
        <v>160000</v>
      </c>
      <c r="M49" s="133">
        <f>H49</f>
        <v>160000</v>
      </c>
      <c r="N49" s="115">
        <f t="shared" si="9"/>
        <v>0</v>
      </c>
      <c r="O49" s="181"/>
      <c r="P49" s="115" t="s">
        <v>886</v>
      </c>
      <c r="Q49" s="414">
        <v>44864</v>
      </c>
      <c r="R49" s="415">
        <f t="shared" si="6"/>
        <v>0</v>
      </c>
      <c r="S49" s="206"/>
    </row>
    <row r="50" s="202" customFormat="1" customHeight="1" spans="1:23">
      <c r="A50" s="115" t="s">
        <v>1635</v>
      </c>
      <c r="B50" s="115" t="s">
        <v>1636</v>
      </c>
      <c r="C50" s="156">
        <v>15137193275</v>
      </c>
      <c r="D50" s="115"/>
      <c r="E50" s="115">
        <v>-4</v>
      </c>
      <c r="F50" s="239">
        <v>598</v>
      </c>
      <c r="G50" s="239">
        <v>264</v>
      </c>
      <c r="H50" s="132">
        <v>160000</v>
      </c>
      <c r="I50" s="132"/>
      <c r="J50" s="246">
        <v>42749</v>
      </c>
      <c r="K50" s="115"/>
      <c r="L50" s="133">
        <f t="shared" si="7"/>
        <v>160000</v>
      </c>
      <c r="M50" s="133">
        <v>160000</v>
      </c>
      <c r="N50" s="115">
        <f t="shared" si="9"/>
        <v>0</v>
      </c>
      <c r="O50" s="181"/>
      <c r="P50" s="115" t="s">
        <v>900</v>
      </c>
      <c r="Q50" s="414">
        <v>44865</v>
      </c>
      <c r="R50" s="415">
        <f t="shared" si="6"/>
        <v>0</v>
      </c>
      <c r="S50" s="96"/>
      <c r="T50" s="96"/>
      <c r="U50" s="96"/>
      <c r="V50" s="96"/>
      <c r="W50" s="96"/>
    </row>
    <row r="51" s="96" customFormat="1" customHeight="1" spans="1:18">
      <c r="A51" s="115" t="s">
        <v>1703</v>
      </c>
      <c r="B51" s="115" t="s">
        <v>480</v>
      </c>
      <c r="C51" s="239">
        <v>15837230037</v>
      </c>
      <c r="D51" s="156" t="s">
        <v>1704</v>
      </c>
      <c r="E51" s="115">
        <v>-4</v>
      </c>
      <c r="F51" s="115">
        <v>1630</v>
      </c>
      <c r="G51" s="115">
        <v>168</v>
      </c>
      <c r="H51" s="132">
        <v>160000</v>
      </c>
      <c r="I51" s="132"/>
      <c r="J51" s="246">
        <v>43250</v>
      </c>
      <c r="K51" s="133">
        <v>160000</v>
      </c>
      <c r="L51" s="133">
        <f t="shared" si="7"/>
        <v>160000</v>
      </c>
      <c r="M51" s="133">
        <v>160000</v>
      </c>
      <c r="N51" s="115">
        <f t="shared" si="9"/>
        <v>0</v>
      </c>
      <c r="O51" s="181"/>
      <c r="P51" s="115" t="s">
        <v>900</v>
      </c>
      <c r="Q51" s="414">
        <v>44865</v>
      </c>
      <c r="R51" s="415">
        <f t="shared" si="6"/>
        <v>0</v>
      </c>
    </row>
    <row r="52" s="96" customFormat="1" customHeight="1" spans="1:18">
      <c r="A52" s="115" t="s">
        <v>1800</v>
      </c>
      <c r="B52" s="115" t="s">
        <v>2613</v>
      </c>
      <c r="C52" s="156">
        <v>13838238233</v>
      </c>
      <c r="D52" s="115"/>
      <c r="E52" s="115">
        <v>-4</v>
      </c>
      <c r="F52" s="115">
        <v>1405</v>
      </c>
      <c r="G52" s="115">
        <v>288</v>
      </c>
      <c r="H52" s="132">
        <v>160000</v>
      </c>
      <c r="I52" s="132"/>
      <c r="J52" s="246">
        <v>42748</v>
      </c>
      <c r="K52" s="115"/>
      <c r="L52" s="133">
        <f t="shared" si="7"/>
        <v>160000</v>
      </c>
      <c r="M52" s="133">
        <v>160000</v>
      </c>
      <c r="N52" s="115">
        <f t="shared" si="9"/>
        <v>0</v>
      </c>
      <c r="O52" s="181"/>
      <c r="P52" s="115" t="s">
        <v>900</v>
      </c>
      <c r="Q52" s="414">
        <v>44866</v>
      </c>
      <c r="R52" s="415">
        <f t="shared" si="6"/>
        <v>0</v>
      </c>
    </row>
    <row r="53" s="202" customFormat="1" customHeight="1" spans="1:23">
      <c r="A53" s="115" t="s">
        <v>1879</v>
      </c>
      <c r="B53" s="115" t="s">
        <v>1880</v>
      </c>
      <c r="C53" s="156">
        <v>13213151172</v>
      </c>
      <c r="D53" s="115"/>
      <c r="E53" s="115">
        <v>-4</v>
      </c>
      <c r="F53" s="115">
        <v>1639</v>
      </c>
      <c r="G53" s="115">
        <v>177</v>
      </c>
      <c r="H53" s="132">
        <v>160000</v>
      </c>
      <c r="I53" s="132"/>
      <c r="J53" s="246">
        <v>42749</v>
      </c>
      <c r="K53" s="133"/>
      <c r="L53" s="133">
        <f t="shared" si="7"/>
        <v>160000</v>
      </c>
      <c r="M53" s="133">
        <v>160000</v>
      </c>
      <c r="N53" s="115">
        <f t="shared" si="9"/>
        <v>0</v>
      </c>
      <c r="O53" s="181"/>
      <c r="P53" s="115" t="s">
        <v>900</v>
      </c>
      <c r="Q53" s="414">
        <v>44867</v>
      </c>
      <c r="R53" s="415">
        <f t="shared" si="6"/>
        <v>0</v>
      </c>
      <c r="S53" s="96"/>
      <c r="T53" s="96"/>
      <c r="U53" s="96"/>
      <c r="V53" s="96"/>
      <c r="W53" s="96"/>
    </row>
    <row r="54" s="202" customFormat="1" customHeight="1" spans="1:23">
      <c r="A54" s="115" t="s">
        <v>1886</v>
      </c>
      <c r="B54" s="115" t="s">
        <v>1887</v>
      </c>
      <c r="C54" s="115"/>
      <c r="D54" s="291"/>
      <c r="E54" s="291"/>
      <c r="F54" s="115" t="s">
        <v>2614</v>
      </c>
      <c r="G54" s="291"/>
      <c r="H54" s="132">
        <v>250000</v>
      </c>
      <c r="I54" s="132"/>
      <c r="J54" s="246">
        <v>43971</v>
      </c>
      <c r="K54" s="133">
        <v>250000</v>
      </c>
      <c r="L54" s="133">
        <f t="shared" si="7"/>
        <v>250000</v>
      </c>
      <c r="M54" s="133">
        <v>250000</v>
      </c>
      <c r="N54" s="115">
        <f t="shared" si="9"/>
        <v>0</v>
      </c>
      <c r="O54" s="181" t="s">
        <v>2615</v>
      </c>
      <c r="P54" s="115" t="s">
        <v>900</v>
      </c>
      <c r="Q54" s="414">
        <v>44867</v>
      </c>
      <c r="R54" s="415">
        <f t="shared" si="6"/>
        <v>0</v>
      </c>
      <c r="S54" s="96"/>
      <c r="T54" s="96"/>
      <c r="U54" s="96"/>
      <c r="V54" s="96"/>
      <c r="W54" s="96"/>
    </row>
    <row r="55" s="96" customFormat="1" customHeight="1" spans="1:18">
      <c r="A55" s="115" t="s">
        <v>1900</v>
      </c>
      <c r="B55" s="115" t="s">
        <v>1901</v>
      </c>
      <c r="C55" s="156">
        <v>18790259976</v>
      </c>
      <c r="D55" s="115"/>
      <c r="E55" s="115">
        <v>-4</v>
      </c>
      <c r="F55" s="115">
        <v>1632</v>
      </c>
      <c r="G55" s="115">
        <v>170</v>
      </c>
      <c r="H55" s="132">
        <v>170000</v>
      </c>
      <c r="I55" s="132"/>
      <c r="J55" s="246">
        <v>43276</v>
      </c>
      <c r="K55" s="133">
        <v>170000</v>
      </c>
      <c r="L55" s="133">
        <f t="shared" si="7"/>
        <v>170000</v>
      </c>
      <c r="M55" s="133">
        <v>170000</v>
      </c>
      <c r="N55" s="115">
        <f t="shared" si="9"/>
        <v>0</v>
      </c>
      <c r="O55" s="181"/>
      <c r="P55" s="115" t="s">
        <v>900</v>
      </c>
      <c r="Q55" s="414">
        <v>44867</v>
      </c>
      <c r="R55" s="415">
        <f t="shared" si="6"/>
        <v>0</v>
      </c>
    </row>
    <row r="56" s="96" customFormat="1" customHeight="1" spans="1:23">
      <c r="A56" s="106" t="s">
        <v>2616</v>
      </c>
      <c r="B56" s="115" t="s">
        <v>2617</v>
      </c>
      <c r="C56" s="156">
        <v>18003712277</v>
      </c>
      <c r="D56" s="547" t="s">
        <v>2618</v>
      </c>
      <c r="E56" s="115">
        <v>-4</v>
      </c>
      <c r="F56" s="115">
        <v>1404</v>
      </c>
      <c r="G56" s="115">
        <v>287</v>
      </c>
      <c r="H56" s="132">
        <v>150000</v>
      </c>
      <c r="I56" s="132"/>
      <c r="J56" s="246">
        <v>42857</v>
      </c>
      <c r="K56" s="115"/>
      <c r="L56" s="133">
        <f t="shared" si="7"/>
        <v>150000</v>
      </c>
      <c r="M56" s="133">
        <f>H56</f>
        <v>150000</v>
      </c>
      <c r="N56" s="115">
        <f t="shared" si="9"/>
        <v>0</v>
      </c>
      <c r="O56" s="181"/>
      <c r="P56" s="115" t="s">
        <v>886</v>
      </c>
      <c r="Q56" s="414">
        <v>44868</v>
      </c>
      <c r="R56" s="415">
        <f t="shared" si="6"/>
        <v>0</v>
      </c>
      <c r="S56" s="206"/>
      <c r="T56" s="202"/>
      <c r="U56" s="202"/>
      <c r="V56" s="202"/>
      <c r="W56" s="202"/>
    </row>
    <row r="57" s="96" customFormat="1" customHeight="1" spans="1:18">
      <c r="A57" s="115" t="s">
        <v>2041</v>
      </c>
      <c r="B57" s="115" t="s">
        <v>2042</v>
      </c>
      <c r="C57" s="403">
        <v>15890104080</v>
      </c>
      <c r="D57" s="83"/>
      <c r="E57" s="83">
        <v>-4</v>
      </c>
      <c r="F57" s="115">
        <v>1400</v>
      </c>
      <c r="G57" s="115">
        <v>283</v>
      </c>
      <c r="H57" s="132">
        <v>160000</v>
      </c>
      <c r="I57" s="132"/>
      <c r="J57" s="294">
        <v>42748</v>
      </c>
      <c r="K57" s="83"/>
      <c r="L57" s="133">
        <f t="shared" si="7"/>
        <v>160000</v>
      </c>
      <c r="M57" s="407">
        <v>160000</v>
      </c>
      <c r="N57" s="115">
        <f t="shared" si="9"/>
        <v>0</v>
      </c>
      <c r="O57" s="181"/>
      <c r="P57" s="115" t="s">
        <v>900</v>
      </c>
      <c r="Q57" s="414">
        <v>44868</v>
      </c>
      <c r="R57" s="415">
        <f t="shared" si="6"/>
        <v>0</v>
      </c>
    </row>
    <row r="58" s="96" customFormat="1" customHeight="1" spans="1:18">
      <c r="A58" s="115" t="s">
        <v>2059</v>
      </c>
      <c r="B58" s="115" t="s">
        <v>2060</v>
      </c>
      <c r="C58" s="404">
        <v>13193505777</v>
      </c>
      <c r="D58" s="403" t="s">
        <v>2061</v>
      </c>
      <c r="E58" s="83">
        <v>-4</v>
      </c>
      <c r="F58" s="115"/>
      <c r="G58" s="115"/>
      <c r="H58" s="132">
        <v>250000</v>
      </c>
      <c r="I58" s="132"/>
      <c r="J58" s="246">
        <v>43971</v>
      </c>
      <c r="K58" s="133">
        <v>250000</v>
      </c>
      <c r="L58" s="133">
        <f t="shared" si="7"/>
        <v>250000</v>
      </c>
      <c r="M58" s="133">
        <v>250000</v>
      </c>
      <c r="N58" s="115">
        <f t="shared" si="9"/>
        <v>0</v>
      </c>
      <c r="O58" s="181"/>
      <c r="P58" s="115" t="s">
        <v>900</v>
      </c>
      <c r="Q58" s="414">
        <v>44868</v>
      </c>
      <c r="R58" s="415">
        <f t="shared" si="6"/>
        <v>0</v>
      </c>
    </row>
    <row r="59" s="96" customFormat="1" customHeight="1" spans="1:18">
      <c r="A59" s="115" t="s">
        <v>2059</v>
      </c>
      <c r="B59" s="115" t="s">
        <v>2060</v>
      </c>
      <c r="C59" s="404">
        <v>13193505777</v>
      </c>
      <c r="D59" s="403" t="s">
        <v>2061</v>
      </c>
      <c r="E59" s="83">
        <v>-4</v>
      </c>
      <c r="F59" s="115"/>
      <c r="G59" s="115"/>
      <c r="H59" s="132">
        <v>250000</v>
      </c>
      <c r="I59" s="132"/>
      <c r="J59" s="246">
        <v>43971</v>
      </c>
      <c r="K59" s="133">
        <v>250000</v>
      </c>
      <c r="L59" s="133">
        <f t="shared" si="7"/>
        <v>250000</v>
      </c>
      <c r="M59" s="133">
        <v>250000</v>
      </c>
      <c r="N59" s="115">
        <f t="shared" si="9"/>
        <v>0</v>
      </c>
      <c r="O59" s="181"/>
      <c r="P59" s="115" t="s">
        <v>900</v>
      </c>
      <c r="Q59" s="414">
        <v>44868</v>
      </c>
      <c r="R59" s="415">
        <f t="shared" si="6"/>
        <v>0</v>
      </c>
    </row>
    <row r="60" s="96" customFormat="1" customHeight="1" spans="1:18">
      <c r="A60" s="115" t="s">
        <v>2059</v>
      </c>
      <c r="B60" s="115" t="s">
        <v>2060</v>
      </c>
      <c r="C60" s="404">
        <v>13193505777</v>
      </c>
      <c r="D60" s="403" t="s">
        <v>2061</v>
      </c>
      <c r="E60" s="83">
        <v>-4</v>
      </c>
      <c r="F60" s="115"/>
      <c r="G60" s="115"/>
      <c r="H60" s="132">
        <v>250000</v>
      </c>
      <c r="I60" s="132"/>
      <c r="J60" s="246">
        <v>43971</v>
      </c>
      <c r="K60" s="133">
        <v>250000</v>
      </c>
      <c r="L60" s="133">
        <f t="shared" si="7"/>
        <v>250000</v>
      </c>
      <c r="M60" s="133">
        <v>250000</v>
      </c>
      <c r="N60" s="115">
        <f t="shared" si="9"/>
        <v>0</v>
      </c>
      <c r="O60" s="181"/>
      <c r="P60" s="115" t="s">
        <v>900</v>
      </c>
      <c r="Q60" s="414">
        <v>44868</v>
      </c>
      <c r="R60" s="415">
        <f t="shared" si="6"/>
        <v>0</v>
      </c>
    </row>
    <row r="61" s="96" customFormat="1" customHeight="1" spans="1:23">
      <c r="A61" s="106" t="s">
        <v>2130</v>
      </c>
      <c r="B61" s="115" t="s">
        <v>2131</v>
      </c>
      <c r="C61" s="405">
        <v>18530801315</v>
      </c>
      <c r="D61" s="403" t="s">
        <v>2132</v>
      </c>
      <c r="E61" s="83">
        <v>-4</v>
      </c>
      <c r="F61" s="115">
        <v>1478</v>
      </c>
      <c r="G61" s="115">
        <v>59</v>
      </c>
      <c r="H61" s="132">
        <v>130000</v>
      </c>
      <c r="I61" s="132"/>
      <c r="J61" s="409">
        <v>43032</v>
      </c>
      <c r="K61" s="83"/>
      <c r="L61" s="133">
        <f t="shared" si="7"/>
        <v>130000</v>
      </c>
      <c r="M61" s="133">
        <f>H61</f>
        <v>130000</v>
      </c>
      <c r="N61" s="115">
        <f t="shared" si="9"/>
        <v>0</v>
      </c>
      <c r="O61" s="181"/>
      <c r="P61" s="115" t="s">
        <v>974</v>
      </c>
      <c r="Q61" s="414">
        <v>44886</v>
      </c>
      <c r="R61" s="415">
        <f t="shared" si="6"/>
        <v>0</v>
      </c>
      <c r="S61" s="202"/>
      <c r="T61" s="202"/>
      <c r="U61" s="202"/>
      <c r="V61" s="202"/>
      <c r="W61" s="202"/>
    </row>
    <row r="62" s="96" customFormat="1" customHeight="1" spans="1:18">
      <c r="A62" s="115" t="s">
        <v>2169</v>
      </c>
      <c r="B62" s="115" t="s">
        <v>2619</v>
      </c>
      <c r="C62" s="406" t="s">
        <v>2172</v>
      </c>
      <c r="D62" s="403" t="s">
        <v>2171</v>
      </c>
      <c r="E62" s="115">
        <v>-4</v>
      </c>
      <c r="F62" s="115">
        <v>1500</v>
      </c>
      <c r="G62" s="115">
        <v>95</v>
      </c>
      <c r="H62" s="132">
        <v>185000</v>
      </c>
      <c r="I62" s="132"/>
      <c r="J62" s="246">
        <v>43980</v>
      </c>
      <c r="K62" s="133">
        <v>185000</v>
      </c>
      <c r="L62" s="133">
        <f t="shared" si="7"/>
        <v>185000</v>
      </c>
      <c r="M62" s="133">
        <v>185000</v>
      </c>
      <c r="N62" s="115">
        <f t="shared" si="9"/>
        <v>0</v>
      </c>
      <c r="O62" s="181"/>
      <c r="P62" s="115" t="s">
        <v>900</v>
      </c>
      <c r="Q62" s="414">
        <v>44886</v>
      </c>
      <c r="R62" s="415">
        <f t="shared" si="6"/>
        <v>0</v>
      </c>
    </row>
    <row r="63" s="96" customFormat="1" customHeight="1" spans="1:18">
      <c r="A63" s="115" t="s">
        <v>2173</v>
      </c>
      <c r="B63" s="115" t="s">
        <v>2620</v>
      </c>
      <c r="C63" s="404">
        <v>13703771872</v>
      </c>
      <c r="D63" s="406" t="s">
        <v>2175</v>
      </c>
      <c r="E63" s="115">
        <v>-4</v>
      </c>
      <c r="F63" s="115">
        <v>1492</v>
      </c>
      <c r="G63" s="115"/>
      <c r="H63" s="132">
        <v>160000</v>
      </c>
      <c r="I63" s="132"/>
      <c r="J63" s="246">
        <v>42819</v>
      </c>
      <c r="K63" s="133"/>
      <c r="L63" s="133">
        <f t="shared" si="7"/>
        <v>160000</v>
      </c>
      <c r="M63" s="133">
        <v>160000</v>
      </c>
      <c r="N63" s="115">
        <f t="shared" si="9"/>
        <v>0</v>
      </c>
      <c r="O63" s="181" t="s">
        <v>2621</v>
      </c>
      <c r="P63" s="115" t="s">
        <v>900</v>
      </c>
      <c r="Q63" s="414">
        <v>44886</v>
      </c>
      <c r="R63" s="415">
        <f t="shared" si="6"/>
        <v>0</v>
      </c>
    </row>
    <row r="64" s="96" customFormat="1" customHeight="1" spans="1:23">
      <c r="A64" s="106" t="s">
        <v>2391</v>
      </c>
      <c r="B64" s="115" t="s">
        <v>2392</v>
      </c>
      <c r="C64" s="403">
        <v>13838117794</v>
      </c>
      <c r="D64" s="83"/>
      <c r="E64" s="83">
        <v>-4</v>
      </c>
      <c r="F64" s="115">
        <v>1465</v>
      </c>
      <c r="G64" s="115">
        <v>263</v>
      </c>
      <c r="H64" s="132">
        <v>160000</v>
      </c>
      <c r="I64" s="132"/>
      <c r="J64" s="409">
        <v>42748</v>
      </c>
      <c r="K64" s="83"/>
      <c r="L64" s="133">
        <f t="shared" si="7"/>
        <v>160000</v>
      </c>
      <c r="M64" s="133">
        <f>H64</f>
        <v>160000</v>
      </c>
      <c r="N64" s="115">
        <f t="shared" si="9"/>
        <v>0</v>
      </c>
      <c r="O64" s="181"/>
      <c r="P64" s="115" t="s">
        <v>974</v>
      </c>
      <c r="Q64" s="414">
        <v>44886</v>
      </c>
      <c r="R64" s="415">
        <f t="shared" si="6"/>
        <v>0</v>
      </c>
      <c r="S64" s="202"/>
      <c r="T64" s="202"/>
      <c r="U64" s="202"/>
      <c r="V64" s="202"/>
      <c r="W64" s="202"/>
    </row>
    <row r="65" s="96" customFormat="1" customHeight="1" spans="1:18">
      <c r="A65" s="115" t="s">
        <v>2622</v>
      </c>
      <c r="B65" s="115" t="s">
        <v>2623</v>
      </c>
      <c r="C65" s="403" t="s">
        <v>2624</v>
      </c>
      <c r="D65" s="403" t="s">
        <v>2625</v>
      </c>
      <c r="E65" s="83">
        <v>-4</v>
      </c>
      <c r="F65" s="115">
        <v>1589</v>
      </c>
      <c r="G65" s="115">
        <v>127</v>
      </c>
      <c r="H65" s="132">
        <v>100000</v>
      </c>
      <c r="I65" s="132"/>
      <c r="J65" s="294">
        <v>43033</v>
      </c>
      <c r="K65" s="407">
        <v>100000</v>
      </c>
      <c r="L65" s="133">
        <f t="shared" si="7"/>
        <v>100000</v>
      </c>
      <c r="M65" s="407">
        <v>100000</v>
      </c>
      <c r="N65" s="115">
        <f t="shared" si="9"/>
        <v>0</v>
      </c>
      <c r="O65" s="181"/>
      <c r="P65" s="115" t="s">
        <v>900</v>
      </c>
      <c r="Q65" s="414">
        <v>44886</v>
      </c>
      <c r="R65" s="415">
        <f t="shared" si="6"/>
        <v>0</v>
      </c>
    </row>
    <row r="66" s="96" customFormat="1" customHeight="1" spans="1:18">
      <c r="A66" s="106" t="s">
        <v>2417</v>
      </c>
      <c r="B66" s="115" t="s">
        <v>2418</v>
      </c>
      <c r="C66" s="156">
        <v>13783632444</v>
      </c>
      <c r="D66" s="115"/>
      <c r="E66" s="115">
        <v>-4</v>
      </c>
      <c r="F66" s="115">
        <v>1460</v>
      </c>
      <c r="G66" s="115">
        <v>270</v>
      </c>
      <c r="H66" s="132">
        <v>160000</v>
      </c>
      <c r="I66" s="132"/>
      <c r="J66" s="409">
        <v>42752</v>
      </c>
      <c r="K66" s="115"/>
      <c r="L66" s="133">
        <f t="shared" si="7"/>
        <v>160000</v>
      </c>
      <c r="M66" s="133">
        <f>H66</f>
        <v>160000</v>
      </c>
      <c r="N66" s="115">
        <f t="shared" si="9"/>
        <v>0</v>
      </c>
      <c r="O66" s="181"/>
      <c r="P66" s="115" t="s">
        <v>974</v>
      </c>
      <c r="Q66" s="414">
        <v>44866</v>
      </c>
      <c r="R66" s="415">
        <f t="shared" si="6"/>
        <v>0</v>
      </c>
    </row>
    <row r="67" s="96" customFormat="1" customHeight="1" spans="1:23">
      <c r="A67" s="106" t="s">
        <v>2417</v>
      </c>
      <c r="B67" s="115" t="s">
        <v>2418</v>
      </c>
      <c r="C67" s="403">
        <v>13783632444</v>
      </c>
      <c r="D67" s="83"/>
      <c r="E67" s="83">
        <v>-4</v>
      </c>
      <c r="F67" s="115">
        <v>1461</v>
      </c>
      <c r="G67" s="115">
        <v>269</v>
      </c>
      <c r="H67" s="295">
        <v>160000</v>
      </c>
      <c r="I67" s="295"/>
      <c r="J67" s="409">
        <v>42752</v>
      </c>
      <c r="K67" s="83"/>
      <c r="L67" s="133">
        <f t="shared" si="7"/>
        <v>160000</v>
      </c>
      <c r="M67" s="133">
        <f>H67</f>
        <v>160000</v>
      </c>
      <c r="N67" s="115">
        <f t="shared" si="9"/>
        <v>0</v>
      </c>
      <c r="O67" s="181"/>
      <c r="P67" s="115" t="s">
        <v>974</v>
      </c>
      <c r="Q67" s="414">
        <v>44866</v>
      </c>
      <c r="R67" s="415">
        <f t="shared" si="6"/>
        <v>0</v>
      </c>
      <c r="S67" s="202"/>
      <c r="T67" s="202"/>
      <c r="U67" s="202"/>
      <c r="V67" s="202"/>
      <c r="W67" s="202"/>
    </row>
    <row r="68" s="96" customFormat="1" customHeight="1" spans="1:23">
      <c r="A68" s="106" t="s">
        <v>2449</v>
      </c>
      <c r="B68" s="115" t="s">
        <v>2450</v>
      </c>
      <c r="C68" s="115">
        <v>18838960815</v>
      </c>
      <c r="D68" s="115" t="s">
        <v>2451</v>
      </c>
      <c r="E68" s="115"/>
      <c r="F68" s="106" t="s">
        <v>2626</v>
      </c>
      <c r="G68" s="115"/>
      <c r="H68" s="132">
        <v>150000</v>
      </c>
      <c r="I68" s="132"/>
      <c r="J68" s="409">
        <v>43489</v>
      </c>
      <c r="K68" s="106"/>
      <c r="L68" s="133">
        <f t="shared" si="7"/>
        <v>150000</v>
      </c>
      <c r="M68" s="133">
        <f>H68</f>
        <v>150000</v>
      </c>
      <c r="N68" s="115">
        <f t="shared" si="9"/>
        <v>0</v>
      </c>
      <c r="O68" s="181"/>
      <c r="P68" s="115" t="s">
        <v>974</v>
      </c>
      <c r="Q68" s="414">
        <v>44867</v>
      </c>
      <c r="R68" s="415">
        <f t="shared" si="6"/>
        <v>0</v>
      </c>
      <c r="S68" s="202"/>
      <c r="T68" s="202"/>
      <c r="U68" s="202"/>
      <c r="V68" s="202"/>
      <c r="W68" s="202"/>
    </row>
    <row r="69" s="96" customFormat="1" customHeight="1" spans="1:18">
      <c r="A69" s="106" t="s">
        <v>2475</v>
      </c>
      <c r="B69" s="115" t="s">
        <v>2476</v>
      </c>
      <c r="C69" s="156">
        <v>18239937999</v>
      </c>
      <c r="D69" s="115"/>
      <c r="E69" s="115">
        <v>-4</v>
      </c>
      <c r="F69" s="115">
        <v>1569</v>
      </c>
      <c r="G69" s="115">
        <v>107</v>
      </c>
      <c r="H69" s="132">
        <v>160000</v>
      </c>
      <c r="I69" s="132"/>
      <c r="J69" s="409">
        <v>42749</v>
      </c>
      <c r="K69" s="115"/>
      <c r="L69" s="133">
        <f t="shared" si="7"/>
        <v>160000</v>
      </c>
      <c r="M69" s="133">
        <f>H69</f>
        <v>160000</v>
      </c>
      <c r="N69" s="115">
        <f t="shared" si="9"/>
        <v>0</v>
      </c>
      <c r="O69" s="181"/>
      <c r="P69" s="115" t="s">
        <v>974</v>
      </c>
      <c r="Q69" s="414">
        <v>44868</v>
      </c>
      <c r="R69" s="415">
        <f t="shared" si="6"/>
        <v>0</v>
      </c>
    </row>
    <row r="70" s="96" customFormat="1" customHeight="1" spans="1:18">
      <c r="A70" s="106" t="s">
        <v>2478</v>
      </c>
      <c r="B70" s="115" t="s">
        <v>2479</v>
      </c>
      <c r="C70" s="156">
        <v>18603825012</v>
      </c>
      <c r="D70" s="156" t="s">
        <v>2627</v>
      </c>
      <c r="E70" s="115">
        <v>-4</v>
      </c>
      <c r="F70" s="115">
        <v>1572</v>
      </c>
      <c r="G70" s="115">
        <v>110</v>
      </c>
      <c r="H70" s="132">
        <v>160000</v>
      </c>
      <c r="I70" s="132"/>
      <c r="J70" s="409">
        <v>42781</v>
      </c>
      <c r="K70" s="115"/>
      <c r="L70" s="133">
        <f t="shared" si="7"/>
        <v>160000</v>
      </c>
      <c r="M70" s="133">
        <f>H70</f>
        <v>160000</v>
      </c>
      <c r="N70" s="115">
        <f t="shared" si="9"/>
        <v>0</v>
      </c>
      <c r="O70" s="181"/>
      <c r="P70" s="115" t="s">
        <v>974</v>
      </c>
      <c r="Q70" s="414">
        <v>44868</v>
      </c>
      <c r="R70" s="415">
        <f t="shared" si="6"/>
        <v>0</v>
      </c>
    </row>
  </sheetData>
  <autoFilter ref="A1:W70">
    <sortState ref="A1:W70">
      <sortCondition ref="A1"/>
    </sortState>
    <extLst/>
  </autoFilter>
  <sortState ref="A2:Q70">
    <sortCondition ref="A2:A70"/>
  </sortState>
  <conditionalFormatting sqref="A$1:A$1048576">
    <cfRule type="duplicateValues" dxfId="1" priority="2"/>
  </conditionalFormatting>
  <conditionalFormatting sqref="F$1:F$1048576">
    <cfRule type="duplicateValues" dxfId="1" priority="1"/>
  </conditionalFormatting>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F1281"/>
  <sheetViews>
    <sheetView workbookViewId="0">
      <pane xSplit="2" ySplit="1" topLeftCell="C364" activePane="bottomRight" state="frozen"/>
      <selection/>
      <selection pane="topRight"/>
      <selection pane="bottomLeft"/>
      <selection pane="bottomRight" activeCell="D2" sqref="D2:D713"/>
    </sheetView>
  </sheetViews>
  <sheetFormatPr defaultColWidth="9" defaultRowHeight="18" customHeight="1"/>
  <cols>
    <col min="1" max="1" width="9.63636363636364" style="98" customWidth="1"/>
    <col min="2" max="2" width="7.90909090909091" style="98" customWidth="1"/>
    <col min="3" max="3" width="21.3636363636364" style="149" customWidth="1"/>
    <col min="4" max="4" width="10.1363636363636" style="187" customWidth="1"/>
    <col min="5" max="5" width="12.9090909090909" style="258" customWidth="1"/>
    <col min="6" max="6" width="2.88181818181818" style="98" customWidth="1"/>
    <col min="7" max="7" width="5.27272727272727" style="98" customWidth="1"/>
    <col min="8" max="8" width="7.63636363636364" style="258" customWidth="1"/>
    <col min="9" max="9" width="6.46363636363636" style="98" customWidth="1"/>
    <col min="10" max="10" width="9.55454545454545" style="96" customWidth="1"/>
    <col min="11" max="11" width="7.72727272727273" style="258" customWidth="1"/>
    <col min="12" max="12" width="10.4454545454545" style="98" customWidth="1"/>
    <col min="13" max="13" width="10.4454545454545" style="259" customWidth="1"/>
    <col min="14" max="14" width="7.36363636363636" style="98" customWidth="1"/>
    <col min="15" max="16" width="4.27272727272727" style="96" customWidth="1"/>
    <col min="17" max="17" width="10.8818181818182" style="98" customWidth="1"/>
    <col min="18" max="18" width="8.55454545454545" style="98" customWidth="1"/>
    <col min="19" max="19" width="10.8181818181818" style="260" customWidth="1"/>
    <col min="20" max="20" width="10.7272727272727" style="260" customWidth="1"/>
    <col min="21" max="21" width="8.81818181818182" style="260" customWidth="1"/>
    <col min="22" max="22" width="8" style="260" customWidth="1"/>
    <col min="23" max="23" width="6.09090909090909" style="260" customWidth="1"/>
    <col min="24" max="24" width="8" style="260" customWidth="1"/>
    <col min="25" max="26" width="3.25454545454545" style="96" customWidth="1"/>
    <col min="27" max="27" width="12.8181818181818" style="102" customWidth="1"/>
    <col min="28" max="28" width="9.55454545454545" style="96" customWidth="1"/>
    <col min="29" max="29" width="9.27272727272727" style="261" customWidth="1"/>
    <col min="30" max="30" width="8.81818181818182" style="261" customWidth="1"/>
    <col min="31" max="31" width="9.63636363636364" style="100" customWidth="1"/>
    <col min="32" max="32" width="7.81818181818182" style="98" customWidth="1"/>
    <col min="33" max="33" width="9.81818181818182" style="100" customWidth="1"/>
    <col min="34" max="34" width="9.63636363636364" style="100" customWidth="1"/>
    <col min="35" max="36" width="12.3636363636364" style="262" customWidth="1"/>
    <col min="37" max="37" width="10.8181818181818" style="101" customWidth="1"/>
    <col min="38" max="38" width="18.2545454545455" style="262" customWidth="1"/>
    <col min="39" max="39" width="7" style="100" customWidth="1"/>
    <col min="40" max="40" width="10.6363636363636" style="259" customWidth="1"/>
    <col min="41" max="41" width="23.8818181818182" style="100" customWidth="1"/>
    <col min="42" max="42" width="7.09090909090909" style="96" customWidth="1"/>
    <col min="43" max="43" width="14" style="96"/>
    <col min="44" max="45" width="10.5545454545455" style="96"/>
    <col min="46" max="16384" width="9" style="96"/>
  </cols>
  <sheetData>
    <row r="1" s="150" customFormat="1" customHeight="1" spans="1:57">
      <c r="A1" s="150" t="s">
        <v>0</v>
      </c>
      <c r="B1" s="263" t="s">
        <v>1</v>
      </c>
      <c r="C1" s="264" t="s">
        <v>2571</v>
      </c>
      <c r="D1" s="263" t="s">
        <v>4</v>
      </c>
      <c r="E1" s="264" t="s">
        <v>2628</v>
      </c>
      <c r="F1" s="265" t="s">
        <v>2629</v>
      </c>
      <c r="G1" s="264" t="s">
        <v>2630</v>
      </c>
      <c r="H1" s="264" t="s">
        <v>2631</v>
      </c>
      <c r="I1" s="269" t="s">
        <v>2632</v>
      </c>
      <c r="J1" s="270" t="s">
        <v>2633</v>
      </c>
      <c r="K1" s="271" t="s">
        <v>2634</v>
      </c>
      <c r="L1" s="272" t="s">
        <v>2635</v>
      </c>
      <c r="M1" s="273" t="s">
        <v>2636</v>
      </c>
      <c r="N1" s="151" t="s">
        <v>2637</v>
      </c>
      <c r="O1" s="151" t="s">
        <v>2638</v>
      </c>
      <c r="P1" s="151" t="s">
        <v>2639</v>
      </c>
      <c r="Q1" s="269" t="s">
        <v>2640</v>
      </c>
      <c r="R1" s="276" t="s">
        <v>2641</v>
      </c>
      <c r="S1" s="277" t="s">
        <v>2642</v>
      </c>
      <c r="T1" s="278" t="s">
        <v>2643</v>
      </c>
      <c r="U1" s="277" t="s">
        <v>20</v>
      </c>
      <c r="V1" s="279" t="s">
        <v>2644</v>
      </c>
      <c r="W1" s="279" t="s">
        <v>2645</v>
      </c>
      <c r="X1" s="277" t="s">
        <v>2646</v>
      </c>
      <c r="Y1" s="272" t="s">
        <v>2647</v>
      </c>
      <c r="Z1" s="272" t="s">
        <v>48</v>
      </c>
      <c r="AA1" s="282" t="s">
        <v>2648</v>
      </c>
      <c r="AB1" s="272" t="s">
        <v>36</v>
      </c>
      <c r="AC1" s="283" t="s">
        <v>2649</v>
      </c>
      <c r="AD1" s="283" t="s">
        <v>2650</v>
      </c>
      <c r="AE1" s="284" t="s">
        <v>28</v>
      </c>
      <c r="AF1" s="150" t="s">
        <v>29</v>
      </c>
      <c r="AG1" s="126" t="s">
        <v>2651</v>
      </c>
      <c r="AH1" s="47" t="s">
        <v>2652</v>
      </c>
      <c r="AI1" s="126" t="s">
        <v>33</v>
      </c>
      <c r="AJ1" s="214" t="s">
        <v>34</v>
      </c>
      <c r="AK1" s="150" t="s">
        <v>35</v>
      </c>
      <c r="AL1" s="126" t="s">
        <v>36</v>
      </c>
      <c r="AM1" s="150" t="s">
        <v>37</v>
      </c>
      <c r="AN1" s="184" t="s">
        <v>38</v>
      </c>
      <c r="AO1" s="285"/>
      <c r="AP1" s="286" t="s">
        <v>39</v>
      </c>
      <c r="AQ1" s="150">
        <f>SUM(AI:AI)</f>
        <v>595752663.52</v>
      </c>
      <c r="AR1" s="286" t="s">
        <v>40</v>
      </c>
      <c r="AS1" s="287">
        <f>SUM(AJ:AJ)</f>
        <v>577342190</v>
      </c>
      <c r="AT1" s="287" t="s">
        <v>41</v>
      </c>
      <c r="AU1" s="287">
        <f>COUNTA(A:A)-1</f>
        <v>1280</v>
      </c>
      <c r="AV1" s="287"/>
      <c r="AW1" s="287"/>
      <c r="AX1" s="287"/>
      <c r="AY1" s="287"/>
      <c r="AZ1" s="287"/>
      <c r="BA1" s="287"/>
      <c r="BB1" s="287"/>
      <c r="BC1" s="287"/>
      <c r="BD1" s="287"/>
      <c r="BE1" s="287"/>
    </row>
    <row r="2" s="115" customFormat="1" customHeight="1" spans="1:57">
      <c r="A2" s="115" t="s">
        <v>2653</v>
      </c>
      <c r="B2" s="111" t="s">
        <v>2654</v>
      </c>
      <c r="C2" s="111" t="s">
        <v>2655</v>
      </c>
      <c r="D2" s="121" t="s">
        <v>2656</v>
      </c>
      <c r="E2" s="266">
        <v>13526559300</v>
      </c>
      <c r="F2" s="267">
        <v>3</v>
      </c>
      <c r="G2" s="268">
        <v>3239</v>
      </c>
      <c r="H2" s="268">
        <v>14.17</v>
      </c>
      <c r="I2" s="274" t="s">
        <v>2657</v>
      </c>
      <c r="J2" s="113" t="s">
        <v>2658</v>
      </c>
      <c r="K2" s="266">
        <v>13.63</v>
      </c>
      <c r="L2" s="266" t="s">
        <v>2659</v>
      </c>
      <c r="M2" s="275" t="s">
        <v>2659</v>
      </c>
      <c r="N2" s="113" t="s">
        <v>56</v>
      </c>
      <c r="O2" s="113"/>
      <c r="P2" s="113"/>
      <c r="Q2" s="113">
        <v>31112.84</v>
      </c>
      <c r="R2" s="113">
        <v>424068</v>
      </c>
      <c r="S2" s="280">
        <v>424068</v>
      </c>
      <c r="T2" s="281">
        <v>0</v>
      </c>
      <c r="U2" s="280"/>
      <c r="V2" s="280"/>
      <c r="W2" s="280"/>
      <c r="X2" s="280"/>
      <c r="Y2" s="113"/>
      <c r="Z2" s="113"/>
      <c r="AA2" s="275"/>
      <c r="AB2" s="113"/>
      <c r="AC2" s="113"/>
      <c r="AD2" s="113"/>
      <c r="AE2" s="133"/>
      <c r="AG2" s="133"/>
      <c r="AH2" s="133"/>
      <c r="AI2" s="132">
        <f>S2+U2+V2+W2+X2+AC2+AD2+AE2</f>
        <v>424068</v>
      </c>
      <c r="AJ2" s="132">
        <f>S2+U2+V2+W2+X2</f>
        <v>424068</v>
      </c>
      <c r="AK2" s="133">
        <f>AI2-AJ2</f>
        <v>0</v>
      </c>
      <c r="AL2" s="132"/>
      <c r="AM2" s="133"/>
      <c r="AN2" s="246">
        <v>44841</v>
      </c>
      <c r="AO2" s="137"/>
      <c r="AP2" s="97"/>
      <c r="AQ2" s="97"/>
      <c r="AR2" s="97"/>
      <c r="AS2" s="97"/>
      <c r="AT2" s="97"/>
      <c r="AU2" s="97"/>
      <c r="AV2" s="97"/>
      <c r="AW2" s="97"/>
      <c r="AX2" s="97"/>
      <c r="AY2" s="97"/>
      <c r="AZ2" s="97"/>
      <c r="BA2" s="97"/>
      <c r="BB2" s="97"/>
      <c r="BC2" s="97"/>
      <c r="BD2" s="97"/>
      <c r="BE2" s="97"/>
    </row>
    <row r="3" s="115" customFormat="1" customHeight="1" spans="1:57">
      <c r="A3" s="115" t="s">
        <v>2660</v>
      </c>
      <c r="B3" s="111" t="s">
        <v>2661</v>
      </c>
      <c r="C3" s="111" t="s">
        <v>2662</v>
      </c>
      <c r="D3" s="121" t="s">
        <v>2663</v>
      </c>
      <c r="E3" s="266" t="s">
        <v>2664</v>
      </c>
      <c r="F3" s="267">
        <v>3</v>
      </c>
      <c r="G3" s="268">
        <v>3644</v>
      </c>
      <c r="H3" s="268">
        <v>16.72</v>
      </c>
      <c r="I3" s="274" t="s">
        <v>2665</v>
      </c>
      <c r="J3" s="113" t="s">
        <v>2666</v>
      </c>
      <c r="K3" s="266">
        <v>24.45</v>
      </c>
      <c r="L3" s="266" t="s">
        <v>2667</v>
      </c>
      <c r="M3" s="275" t="s">
        <v>2668</v>
      </c>
      <c r="N3" s="113" t="s">
        <v>56</v>
      </c>
      <c r="O3" s="113"/>
      <c r="P3" s="113"/>
      <c r="Q3" s="113">
        <v>26584.87</v>
      </c>
      <c r="R3" s="113">
        <v>444499</v>
      </c>
      <c r="S3" s="280">
        <v>444499</v>
      </c>
      <c r="T3" s="281">
        <f>R3-S3</f>
        <v>0</v>
      </c>
      <c r="U3" s="280"/>
      <c r="V3" s="280">
        <v>1086</v>
      </c>
      <c r="W3" s="280">
        <v>550</v>
      </c>
      <c r="X3" s="280"/>
      <c r="Y3" s="113" t="s">
        <v>2669</v>
      </c>
      <c r="Z3" s="113" t="s">
        <v>48</v>
      </c>
      <c r="AA3" s="275">
        <v>44103</v>
      </c>
      <c r="AB3" s="113"/>
      <c r="AC3" s="113"/>
      <c r="AD3" s="113"/>
      <c r="AE3" s="133"/>
      <c r="AG3" s="133"/>
      <c r="AH3" s="133"/>
      <c r="AI3" s="132">
        <f>S3+U3+V3+W3+X3+AC3+AD3+AE3</f>
        <v>446135</v>
      </c>
      <c r="AJ3" s="132">
        <f>S3+U3+V3+W3+X3</f>
        <v>446135</v>
      </c>
      <c r="AK3" s="133">
        <f>AI3-AJ3</f>
        <v>0</v>
      </c>
      <c r="AL3" s="132"/>
      <c r="AM3" s="133"/>
      <c r="AN3" s="246">
        <v>44841</v>
      </c>
      <c r="AO3" s="137"/>
      <c r="AP3" s="97"/>
      <c r="AQ3" s="97"/>
      <c r="AR3" s="97"/>
      <c r="AS3" s="97"/>
      <c r="AT3" s="97"/>
      <c r="AU3" s="97"/>
      <c r="AV3" s="97"/>
      <c r="AW3" s="97"/>
      <c r="AX3" s="97"/>
      <c r="AY3" s="97"/>
      <c r="AZ3" s="97"/>
      <c r="BA3" s="97"/>
      <c r="BB3" s="97"/>
      <c r="BC3" s="97"/>
      <c r="BD3" s="97"/>
      <c r="BE3" s="97"/>
    </row>
    <row r="4" s="115" customFormat="1" customHeight="1" spans="1:58">
      <c r="A4" s="115" t="s">
        <v>2670</v>
      </c>
      <c r="B4" s="111" t="s">
        <v>2671</v>
      </c>
      <c r="C4" s="111" t="s">
        <v>2672</v>
      </c>
      <c r="D4" s="121" t="s">
        <v>2673</v>
      </c>
      <c r="E4" s="266">
        <v>18530051051</v>
      </c>
      <c r="F4" s="267">
        <v>3</v>
      </c>
      <c r="G4" s="268">
        <v>3478</v>
      </c>
      <c r="H4" s="268">
        <v>17.03</v>
      </c>
      <c r="I4" s="274" t="s">
        <v>2657</v>
      </c>
      <c r="J4" s="113" t="s">
        <v>2674</v>
      </c>
      <c r="K4" s="266">
        <v>15.03</v>
      </c>
      <c r="L4" s="266" t="s">
        <v>2675</v>
      </c>
      <c r="M4" s="275" t="s">
        <v>2676</v>
      </c>
      <c r="N4" s="113" t="s">
        <v>2677</v>
      </c>
      <c r="O4" s="113"/>
      <c r="P4" s="113"/>
      <c r="Q4" s="113">
        <v>31936.13</v>
      </c>
      <c r="R4" s="113">
        <v>480000</v>
      </c>
      <c r="S4" s="280">
        <v>240000</v>
      </c>
      <c r="T4" s="281">
        <f>R4-S4</f>
        <v>240000</v>
      </c>
      <c r="U4" s="280"/>
      <c r="V4" s="280"/>
      <c r="W4" s="280"/>
      <c r="X4" s="280"/>
      <c r="Y4" s="113"/>
      <c r="Z4" s="113"/>
      <c r="AA4" s="275"/>
      <c r="AB4" s="113"/>
      <c r="AC4" s="113"/>
      <c r="AD4" s="113"/>
      <c r="AE4" s="113"/>
      <c r="AF4" s="115" t="s">
        <v>237</v>
      </c>
      <c r="AG4" s="133" t="s">
        <v>2678</v>
      </c>
      <c r="AH4" s="133"/>
      <c r="AI4" s="132">
        <f>S4+U4+V4+W4+X4+AC4+AD4+AE4</f>
        <v>240000</v>
      </c>
      <c r="AJ4" s="132">
        <f>S4+U4+V4+W4+X4</f>
        <v>240000</v>
      </c>
      <c r="AK4" s="133">
        <f>AI4-AJ4</f>
        <v>0</v>
      </c>
      <c r="AL4" s="132"/>
      <c r="AM4" s="133"/>
      <c r="AN4" s="246"/>
      <c r="AO4" s="288"/>
      <c r="AP4" s="288"/>
      <c r="AQ4" s="97"/>
      <c r="AR4" s="97"/>
      <c r="AS4" s="97"/>
      <c r="AT4" s="97"/>
      <c r="AU4" s="97"/>
      <c r="AV4" s="97"/>
      <c r="AW4" s="97"/>
      <c r="AX4" s="97"/>
      <c r="AY4" s="97"/>
      <c r="AZ4" s="97"/>
      <c r="BA4" s="97"/>
      <c r="BB4" s="97"/>
      <c r="BC4" s="97"/>
      <c r="BD4" s="97"/>
      <c r="BE4" s="97"/>
      <c r="BF4" s="97"/>
    </row>
    <row r="5" s="115" customFormat="1" customHeight="1" spans="1:57">
      <c r="A5" s="115" t="s">
        <v>2679</v>
      </c>
      <c r="B5" s="111" t="s">
        <v>2680</v>
      </c>
      <c r="C5" s="554" t="s">
        <v>2681</v>
      </c>
      <c r="D5" s="121" t="s">
        <v>2682</v>
      </c>
      <c r="E5" s="266"/>
      <c r="F5" s="267">
        <v>4</v>
      </c>
      <c r="G5" s="268">
        <v>4151</v>
      </c>
      <c r="H5" s="268">
        <v>36.5</v>
      </c>
      <c r="I5" s="274" t="s">
        <v>2665</v>
      </c>
      <c r="J5" s="113" t="s">
        <v>2683</v>
      </c>
      <c r="K5" s="266">
        <v>41.78</v>
      </c>
      <c r="L5" s="266" t="s">
        <v>2684</v>
      </c>
      <c r="M5" s="275" t="s">
        <v>2685</v>
      </c>
      <c r="N5" s="113" t="s">
        <v>56</v>
      </c>
      <c r="O5" s="113"/>
      <c r="P5" s="113"/>
      <c r="Q5" s="113">
        <v>21302.0584011489</v>
      </c>
      <c r="R5" s="113">
        <v>777525</v>
      </c>
      <c r="S5" s="280">
        <v>777525</v>
      </c>
      <c r="T5" s="281">
        <f t="shared" ref="T5:T13" si="0">R5-S5</f>
        <v>0</v>
      </c>
      <c r="U5" s="280"/>
      <c r="V5" s="280">
        <v>2372</v>
      </c>
      <c r="W5" s="280">
        <v>560</v>
      </c>
      <c r="X5" s="280">
        <v>109543</v>
      </c>
      <c r="Y5" s="113" t="s">
        <v>2669</v>
      </c>
      <c r="Z5" s="113"/>
      <c r="AA5" s="275"/>
      <c r="AB5" s="113"/>
      <c r="AC5" s="113"/>
      <c r="AD5" s="113"/>
      <c r="AE5" s="133"/>
      <c r="AG5" s="133"/>
      <c r="AH5" s="133"/>
      <c r="AI5" s="132">
        <f t="shared" ref="AI5:AI12" si="1">S5+U5+V5+W5+X5+AC5+AD5+AE5</f>
        <v>890000</v>
      </c>
      <c r="AJ5" s="132">
        <f t="shared" ref="AJ5:AJ12" si="2">S5+U5+V5+W5+X5</f>
        <v>890000</v>
      </c>
      <c r="AK5" s="133">
        <f t="shared" ref="AK5:AK22" si="3">AI5-AJ5</f>
        <v>0</v>
      </c>
      <c r="AL5" s="132"/>
      <c r="AM5" s="133"/>
      <c r="AN5" s="246">
        <v>44841</v>
      </c>
      <c r="AO5" s="137"/>
      <c r="AP5" s="97"/>
      <c r="AQ5" s="97"/>
      <c r="AR5" s="97"/>
      <c r="AS5" s="97"/>
      <c r="AT5" s="97"/>
      <c r="AU5" s="97"/>
      <c r="AV5" s="97"/>
      <c r="AW5" s="97"/>
      <c r="AX5" s="97"/>
      <c r="AY5" s="97"/>
      <c r="AZ5" s="97"/>
      <c r="BA5" s="97"/>
      <c r="BB5" s="97"/>
      <c r="BC5" s="97"/>
      <c r="BD5" s="97"/>
      <c r="BE5" s="97"/>
    </row>
    <row r="6" s="115" customFormat="1" customHeight="1" spans="1:57">
      <c r="A6" s="115" t="s">
        <v>2686</v>
      </c>
      <c r="B6" s="111" t="s">
        <v>2687</v>
      </c>
      <c r="C6" s="554" t="s">
        <v>2688</v>
      </c>
      <c r="D6" s="121" t="s">
        <v>2689</v>
      </c>
      <c r="E6" s="266">
        <v>15890680307</v>
      </c>
      <c r="F6" s="267">
        <v>4</v>
      </c>
      <c r="G6" s="268">
        <v>4396</v>
      </c>
      <c r="H6" s="268">
        <v>18.16</v>
      </c>
      <c r="I6" s="274" t="s">
        <v>2657</v>
      </c>
      <c r="J6" s="113" t="s">
        <v>2690</v>
      </c>
      <c r="K6" s="266">
        <v>14.88</v>
      </c>
      <c r="L6" s="266" t="s">
        <v>2691</v>
      </c>
      <c r="M6" s="275" t="s">
        <v>2692</v>
      </c>
      <c r="N6" s="113" t="s">
        <v>66</v>
      </c>
      <c r="O6" s="113"/>
      <c r="P6" s="113"/>
      <c r="Q6" s="113">
        <v>27307.06</v>
      </c>
      <c r="R6" s="113">
        <v>406329</v>
      </c>
      <c r="S6" s="280">
        <v>216329</v>
      </c>
      <c r="T6" s="281">
        <f t="shared" si="0"/>
        <v>190000</v>
      </c>
      <c r="U6" s="280"/>
      <c r="V6" s="280"/>
      <c r="W6" s="280"/>
      <c r="X6" s="280"/>
      <c r="Y6" s="113"/>
      <c r="Z6" s="113"/>
      <c r="AA6" s="275"/>
      <c r="AB6" s="113"/>
      <c r="AC6" s="113"/>
      <c r="AD6" s="113"/>
      <c r="AE6" s="133"/>
      <c r="AG6" s="133"/>
      <c r="AH6" s="133"/>
      <c r="AI6" s="132">
        <f t="shared" si="1"/>
        <v>216329</v>
      </c>
      <c r="AJ6" s="132">
        <f t="shared" si="2"/>
        <v>216329</v>
      </c>
      <c r="AK6" s="133">
        <f t="shared" si="3"/>
        <v>0</v>
      </c>
      <c r="AL6" s="132"/>
      <c r="AM6" s="133"/>
      <c r="AN6" s="246">
        <v>44841</v>
      </c>
      <c r="AO6" s="137"/>
      <c r="AP6" s="97"/>
      <c r="AQ6" s="97"/>
      <c r="AR6" s="97"/>
      <c r="AS6" s="97"/>
      <c r="AT6" s="97"/>
      <c r="AU6" s="97"/>
      <c r="AV6" s="97"/>
      <c r="AW6" s="97"/>
      <c r="AX6" s="97"/>
      <c r="AY6" s="97"/>
      <c r="AZ6" s="97"/>
      <c r="BA6" s="97"/>
      <c r="BB6" s="97"/>
      <c r="BC6" s="97"/>
      <c r="BD6" s="97"/>
      <c r="BE6" s="97"/>
    </row>
    <row r="7" s="115" customFormat="1" customHeight="1" spans="1:57">
      <c r="A7" s="115" t="s">
        <v>2693</v>
      </c>
      <c r="B7" s="111" t="s">
        <v>2694</v>
      </c>
      <c r="C7" s="554" t="s">
        <v>2695</v>
      </c>
      <c r="D7" s="121" t="s">
        <v>2696</v>
      </c>
      <c r="E7" s="266">
        <v>13526512566</v>
      </c>
      <c r="F7" s="267">
        <v>1</v>
      </c>
      <c r="G7" s="268">
        <v>1313</v>
      </c>
      <c r="H7" s="268">
        <v>22.95</v>
      </c>
      <c r="I7" s="274" t="s">
        <v>2657</v>
      </c>
      <c r="J7" s="113" t="s">
        <v>2697</v>
      </c>
      <c r="K7" s="266">
        <v>20.75</v>
      </c>
      <c r="L7" s="266" t="s">
        <v>2698</v>
      </c>
      <c r="M7" s="275" t="s">
        <v>2699</v>
      </c>
      <c r="N7" s="113" t="s">
        <v>56</v>
      </c>
      <c r="O7" s="113"/>
      <c r="P7" s="113"/>
      <c r="Q7" s="113">
        <v>48125.32</v>
      </c>
      <c r="R7" s="113">
        <v>1104476</v>
      </c>
      <c r="S7" s="280">
        <v>1104476</v>
      </c>
      <c r="T7" s="281">
        <f t="shared" si="0"/>
        <v>0</v>
      </c>
      <c r="U7" s="280"/>
      <c r="V7" s="280">
        <v>1491</v>
      </c>
      <c r="W7" s="280">
        <v>550</v>
      </c>
      <c r="X7" s="280"/>
      <c r="Y7" s="113" t="s">
        <v>2669</v>
      </c>
      <c r="Z7" s="113" t="s">
        <v>48</v>
      </c>
      <c r="AA7" s="275">
        <v>44052</v>
      </c>
      <c r="AB7" s="113"/>
      <c r="AC7" s="113"/>
      <c r="AD7" s="113"/>
      <c r="AE7" s="133"/>
      <c r="AF7" s="115" t="s">
        <v>237</v>
      </c>
      <c r="AG7" s="133" t="s">
        <v>160</v>
      </c>
      <c r="AH7" s="133"/>
      <c r="AI7" s="132">
        <f t="shared" si="1"/>
        <v>1106517</v>
      </c>
      <c r="AJ7" s="132">
        <f t="shared" si="2"/>
        <v>1106517</v>
      </c>
      <c r="AK7" s="133">
        <f t="shared" si="3"/>
        <v>0</v>
      </c>
      <c r="AL7" s="132"/>
      <c r="AM7" s="133"/>
      <c r="AN7" s="246">
        <v>44841</v>
      </c>
      <c r="AO7" s="137"/>
      <c r="AP7" s="97"/>
      <c r="AQ7" s="97"/>
      <c r="AR7" s="97"/>
      <c r="AS7" s="97"/>
      <c r="AT7" s="97"/>
      <c r="AU7" s="97"/>
      <c r="AV7" s="97"/>
      <c r="AW7" s="97"/>
      <c r="AX7" s="97"/>
      <c r="AY7" s="97"/>
      <c r="AZ7" s="97"/>
      <c r="BA7" s="97"/>
      <c r="BB7" s="97"/>
      <c r="BC7" s="97"/>
      <c r="BD7" s="97"/>
      <c r="BE7" s="97"/>
    </row>
    <row r="8" s="115" customFormat="1" customHeight="1" spans="1:57">
      <c r="A8" s="115" t="s">
        <v>2700</v>
      </c>
      <c r="B8" s="111" t="s">
        <v>2701</v>
      </c>
      <c r="C8" s="554" t="s">
        <v>2702</v>
      </c>
      <c r="D8" s="121" t="s">
        <v>2703</v>
      </c>
      <c r="E8" s="266">
        <v>18638737345</v>
      </c>
      <c r="F8" s="267">
        <v>4</v>
      </c>
      <c r="G8" s="268">
        <v>466</v>
      </c>
      <c r="H8" s="268">
        <v>21.34</v>
      </c>
      <c r="I8" s="274" t="s">
        <v>2657</v>
      </c>
      <c r="J8" s="113" t="s">
        <v>2704</v>
      </c>
      <c r="K8" s="266">
        <v>15.76</v>
      </c>
      <c r="L8" s="266" t="s">
        <v>2705</v>
      </c>
      <c r="M8" s="275" t="s">
        <v>2705</v>
      </c>
      <c r="N8" s="113" t="s">
        <v>56</v>
      </c>
      <c r="O8" s="113"/>
      <c r="P8" s="113"/>
      <c r="Q8" s="113">
        <v>25253.36</v>
      </c>
      <c r="R8" s="113">
        <v>397993</v>
      </c>
      <c r="S8" s="280">
        <v>397993</v>
      </c>
      <c r="T8" s="281">
        <f t="shared" si="0"/>
        <v>0</v>
      </c>
      <c r="U8" s="280"/>
      <c r="V8" s="280"/>
      <c r="W8" s="280"/>
      <c r="X8" s="280"/>
      <c r="Y8" s="113"/>
      <c r="Z8" s="113"/>
      <c r="AA8" s="275"/>
      <c r="AB8" s="113"/>
      <c r="AC8" s="113"/>
      <c r="AD8" s="113"/>
      <c r="AE8" s="133"/>
      <c r="AG8" s="133"/>
      <c r="AH8" s="133"/>
      <c r="AI8" s="132">
        <f t="shared" si="1"/>
        <v>397993</v>
      </c>
      <c r="AJ8" s="132">
        <f t="shared" si="2"/>
        <v>397993</v>
      </c>
      <c r="AK8" s="133">
        <f t="shared" si="3"/>
        <v>0</v>
      </c>
      <c r="AL8" s="132"/>
      <c r="AM8" s="133"/>
      <c r="AN8" s="246">
        <v>44841</v>
      </c>
      <c r="AO8" s="137"/>
      <c r="AP8" s="97"/>
      <c r="AQ8" s="97"/>
      <c r="AR8" s="97"/>
      <c r="AS8" s="97"/>
      <c r="AT8" s="97"/>
      <c r="AU8" s="97"/>
      <c r="AV8" s="97"/>
      <c r="AW8" s="97"/>
      <c r="AX8" s="97"/>
      <c r="AY8" s="97"/>
      <c r="AZ8" s="97"/>
      <c r="BA8" s="97"/>
      <c r="BB8" s="97"/>
      <c r="BC8" s="97"/>
      <c r="BD8" s="97"/>
      <c r="BE8" s="97"/>
    </row>
    <row r="9" s="115" customFormat="1" customHeight="1" spans="1:57">
      <c r="A9" s="115" t="s">
        <v>2706</v>
      </c>
      <c r="B9" s="111" t="s">
        <v>2707</v>
      </c>
      <c r="C9" s="554" t="s">
        <v>2708</v>
      </c>
      <c r="D9" s="121" t="s">
        <v>2709</v>
      </c>
      <c r="E9" s="266">
        <v>18768869327</v>
      </c>
      <c r="F9" s="267">
        <v>2</v>
      </c>
      <c r="G9" s="268">
        <v>242</v>
      </c>
      <c r="H9" s="268">
        <v>27.2</v>
      </c>
      <c r="I9" s="274" t="s">
        <v>2665</v>
      </c>
      <c r="J9" s="113" t="s">
        <v>2710</v>
      </c>
      <c r="K9" s="266">
        <v>22.73</v>
      </c>
      <c r="L9" s="266" t="s">
        <v>2711</v>
      </c>
      <c r="M9" s="275" t="s">
        <v>2712</v>
      </c>
      <c r="N9" s="113" t="s">
        <v>66</v>
      </c>
      <c r="O9" s="113"/>
      <c r="P9" s="113"/>
      <c r="Q9" s="113">
        <v>31148.92</v>
      </c>
      <c r="R9" s="113">
        <v>708015</v>
      </c>
      <c r="S9" s="280">
        <v>358015</v>
      </c>
      <c r="T9" s="281">
        <f t="shared" si="0"/>
        <v>350000</v>
      </c>
      <c r="U9" s="280"/>
      <c r="V9" s="280"/>
      <c r="W9" s="280"/>
      <c r="X9" s="280"/>
      <c r="Y9" s="113"/>
      <c r="Z9" s="113"/>
      <c r="AA9" s="275"/>
      <c r="AB9" s="113"/>
      <c r="AC9" s="113"/>
      <c r="AD9" s="113"/>
      <c r="AE9" s="133"/>
      <c r="AG9" s="133"/>
      <c r="AH9" s="133"/>
      <c r="AI9" s="132">
        <f t="shared" si="1"/>
        <v>358015</v>
      </c>
      <c r="AJ9" s="132">
        <f t="shared" si="2"/>
        <v>358015</v>
      </c>
      <c r="AK9" s="133">
        <f t="shared" si="3"/>
        <v>0</v>
      </c>
      <c r="AL9" s="132"/>
      <c r="AM9" s="133"/>
      <c r="AN9" s="246">
        <v>44841</v>
      </c>
      <c r="AO9" s="137"/>
      <c r="AP9" s="97"/>
      <c r="AQ9" s="97"/>
      <c r="AR9" s="97"/>
      <c r="AS9" s="97"/>
      <c r="AT9" s="97"/>
      <c r="AU9" s="97"/>
      <c r="AV9" s="97"/>
      <c r="AW9" s="97"/>
      <c r="AX9" s="97"/>
      <c r="AY9" s="97"/>
      <c r="AZ9" s="97"/>
      <c r="BA9" s="97"/>
      <c r="BB9" s="97"/>
      <c r="BC9" s="97"/>
      <c r="BD9" s="97"/>
      <c r="BE9" s="97"/>
    </row>
    <row r="10" s="115" customFormat="1" customHeight="1" spans="1:57">
      <c r="A10" s="115" t="s">
        <v>2713</v>
      </c>
      <c r="B10" s="111" t="s">
        <v>2714</v>
      </c>
      <c r="C10" s="554" t="s">
        <v>2715</v>
      </c>
      <c r="D10" s="121" t="s">
        <v>2716</v>
      </c>
      <c r="E10" s="266">
        <v>18603819017</v>
      </c>
      <c r="F10" s="267">
        <v>4</v>
      </c>
      <c r="G10" s="268">
        <v>4442</v>
      </c>
      <c r="H10" s="268">
        <v>10.72</v>
      </c>
      <c r="I10" s="274" t="s">
        <v>2657</v>
      </c>
      <c r="J10" s="113" t="s">
        <v>2717</v>
      </c>
      <c r="K10" s="266">
        <v>8.61</v>
      </c>
      <c r="L10" s="266" t="s">
        <v>2718</v>
      </c>
      <c r="M10" s="275" t="s">
        <v>2718</v>
      </c>
      <c r="N10" s="113" t="s">
        <v>56</v>
      </c>
      <c r="O10" s="113"/>
      <c r="P10" s="113"/>
      <c r="Q10" s="113">
        <v>27677.93</v>
      </c>
      <c r="R10" s="113">
        <v>238307</v>
      </c>
      <c r="S10" s="280">
        <v>238307</v>
      </c>
      <c r="T10" s="281">
        <f t="shared" si="0"/>
        <v>0</v>
      </c>
      <c r="U10" s="280"/>
      <c r="V10" s="280"/>
      <c r="W10" s="280"/>
      <c r="X10" s="280"/>
      <c r="Y10" s="113"/>
      <c r="Z10" s="113"/>
      <c r="AA10" s="275"/>
      <c r="AB10" s="113"/>
      <c r="AC10" s="113"/>
      <c r="AD10" s="113"/>
      <c r="AE10" s="133"/>
      <c r="AF10" s="115" t="s">
        <v>208</v>
      </c>
      <c r="AG10" s="133"/>
      <c r="AH10" s="133"/>
      <c r="AI10" s="132">
        <f t="shared" si="1"/>
        <v>238307</v>
      </c>
      <c r="AJ10" s="132">
        <f t="shared" si="2"/>
        <v>238307</v>
      </c>
      <c r="AK10" s="133">
        <f t="shared" si="3"/>
        <v>0</v>
      </c>
      <c r="AL10" s="132"/>
      <c r="AM10" s="133"/>
      <c r="AN10" s="246">
        <v>44841</v>
      </c>
      <c r="AO10" s="137"/>
      <c r="AP10" s="97"/>
      <c r="AQ10" s="97"/>
      <c r="AR10" s="97"/>
      <c r="AS10" s="97"/>
      <c r="AT10" s="97"/>
      <c r="AU10" s="97"/>
      <c r="AV10" s="97"/>
      <c r="AW10" s="97"/>
      <c r="AX10" s="97"/>
      <c r="AY10" s="97"/>
      <c r="AZ10" s="97"/>
      <c r="BA10" s="97"/>
      <c r="BB10" s="97"/>
      <c r="BC10" s="97"/>
      <c r="BD10" s="97"/>
      <c r="BE10" s="97"/>
    </row>
    <row r="11" s="115" customFormat="1" customHeight="1" spans="1:57">
      <c r="A11" s="115" t="s">
        <v>2719</v>
      </c>
      <c r="B11" s="111" t="s">
        <v>1079</v>
      </c>
      <c r="C11" s="554" t="s">
        <v>2720</v>
      </c>
      <c r="D11" s="121" t="s">
        <v>2721</v>
      </c>
      <c r="E11" s="266" t="s">
        <v>2722</v>
      </c>
      <c r="F11" s="267">
        <v>2</v>
      </c>
      <c r="G11" s="268">
        <v>261</v>
      </c>
      <c r="H11" s="268">
        <v>27.8</v>
      </c>
      <c r="I11" s="274" t="s">
        <v>2665</v>
      </c>
      <c r="J11" s="113" t="s">
        <v>2723</v>
      </c>
      <c r="K11" s="266">
        <v>28</v>
      </c>
      <c r="L11" s="266" t="s">
        <v>2712</v>
      </c>
      <c r="M11" s="275" t="s">
        <v>2724</v>
      </c>
      <c r="N11" s="113" t="s">
        <v>56</v>
      </c>
      <c r="O11" s="113"/>
      <c r="P11" s="113"/>
      <c r="Q11" s="113">
        <v>31407</v>
      </c>
      <c r="R11" s="113">
        <v>873115</v>
      </c>
      <c r="S11" s="280">
        <v>873115</v>
      </c>
      <c r="T11" s="281">
        <f t="shared" si="0"/>
        <v>0</v>
      </c>
      <c r="U11" s="280"/>
      <c r="V11" s="280">
        <v>1807</v>
      </c>
      <c r="W11" s="280">
        <v>550</v>
      </c>
      <c r="X11" s="280">
        <v>3924</v>
      </c>
      <c r="Y11" s="113" t="s">
        <v>2669</v>
      </c>
      <c r="Z11" s="113" t="s">
        <v>48</v>
      </c>
      <c r="AA11" s="275">
        <v>44065</v>
      </c>
      <c r="AB11" s="113"/>
      <c r="AC11" s="113"/>
      <c r="AD11" s="113"/>
      <c r="AE11" s="133"/>
      <c r="AF11" s="115" t="s">
        <v>237</v>
      </c>
      <c r="AG11" s="133" t="s">
        <v>160</v>
      </c>
      <c r="AH11" s="133"/>
      <c r="AI11" s="132">
        <f t="shared" si="1"/>
        <v>879396</v>
      </c>
      <c r="AJ11" s="132">
        <f t="shared" si="2"/>
        <v>879396</v>
      </c>
      <c r="AK11" s="133">
        <f t="shared" si="3"/>
        <v>0</v>
      </c>
      <c r="AL11" s="132"/>
      <c r="AM11" s="133"/>
      <c r="AN11" s="246">
        <v>44841</v>
      </c>
      <c r="AO11" s="137"/>
      <c r="AP11" s="97"/>
      <c r="AQ11" s="97"/>
      <c r="AR11" s="97"/>
      <c r="AS11" s="97"/>
      <c r="AT11" s="97"/>
      <c r="AU11" s="97"/>
      <c r="AV11" s="97"/>
      <c r="AW11" s="97"/>
      <c r="AX11" s="97"/>
      <c r="AY11" s="97"/>
      <c r="AZ11" s="97"/>
      <c r="BA11" s="97"/>
      <c r="BB11" s="97"/>
      <c r="BC11" s="97"/>
      <c r="BD11" s="97"/>
      <c r="BE11" s="97"/>
    </row>
    <row r="12" s="115" customFormat="1" customHeight="1" spans="1:57">
      <c r="A12" s="115" t="s">
        <v>2725</v>
      </c>
      <c r="B12" s="111" t="s">
        <v>2726</v>
      </c>
      <c r="C12" s="111" t="s">
        <v>2727</v>
      </c>
      <c r="D12" s="121" t="s">
        <v>2728</v>
      </c>
      <c r="E12" s="266" t="s">
        <v>2729</v>
      </c>
      <c r="F12" s="267">
        <v>1</v>
      </c>
      <c r="G12" s="268">
        <v>1145</v>
      </c>
      <c r="H12" s="268">
        <v>28.5</v>
      </c>
      <c r="I12" s="274" t="s">
        <v>2665</v>
      </c>
      <c r="J12" s="113" t="s">
        <v>2730</v>
      </c>
      <c r="K12" s="266">
        <v>23.1</v>
      </c>
      <c r="L12" s="266" t="s">
        <v>2731</v>
      </c>
      <c r="M12" s="275" t="s">
        <v>2732</v>
      </c>
      <c r="N12" s="113" t="s">
        <v>56</v>
      </c>
      <c r="O12" s="113"/>
      <c r="P12" s="113"/>
      <c r="Q12" s="113">
        <v>53124.3722943723</v>
      </c>
      <c r="R12" s="113">
        <v>1227173</v>
      </c>
      <c r="S12" s="280">
        <v>1227173</v>
      </c>
      <c r="T12" s="281">
        <f t="shared" si="0"/>
        <v>0</v>
      </c>
      <c r="U12" s="280"/>
      <c r="V12" s="280"/>
      <c r="W12" s="280"/>
      <c r="X12" s="280"/>
      <c r="Y12" s="113"/>
      <c r="Z12" s="113"/>
      <c r="AA12" s="275"/>
      <c r="AB12" s="113"/>
      <c r="AC12" s="113"/>
      <c r="AD12" s="113"/>
      <c r="AE12" s="133"/>
      <c r="AG12" s="133" t="s">
        <v>160</v>
      </c>
      <c r="AH12" s="133"/>
      <c r="AI12" s="132">
        <f t="shared" si="1"/>
        <v>1227173</v>
      </c>
      <c r="AJ12" s="132">
        <f t="shared" si="2"/>
        <v>1227173</v>
      </c>
      <c r="AK12" s="133">
        <f t="shared" si="3"/>
        <v>0</v>
      </c>
      <c r="AL12" s="132"/>
      <c r="AM12" s="133"/>
      <c r="AN12" s="246">
        <v>44841</v>
      </c>
      <c r="AO12" s="137"/>
      <c r="AP12" s="97"/>
      <c r="AQ12" s="97"/>
      <c r="AR12" s="97"/>
      <c r="AS12" s="97"/>
      <c r="AT12" s="97"/>
      <c r="AU12" s="97"/>
      <c r="AV12" s="97"/>
      <c r="AW12" s="97"/>
      <c r="AX12" s="97"/>
      <c r="AY12" s="97"/>
      <c r="AZ12" s="97"/>
      <c r="BA12" s="97"/>
      <c r="BB12" s="97"/>
      <c r="BC12" s="97"/>
      <c r="BD12" s="97"/>
      <c r="BE12" s="97"/>
    </row>
    <row r="13" s="115" customFormat="1" customHeight="1" spans="1:57">
      <c r="A13" s="115" t="s">
        <v>2733</v>
      </c>
      <c r="B13" s="111" t="s">
        <v>2734</v>
      </c>
      <c r="C13" s="554" t="s">
        <v>2735</v>
      </c>
      <c r="D13" s="121" t="s">
        <v>2736</v>
      </c>
      <c r="E13" s="266" t="s">
        <v>2737</v>
      </c>
      <c r="F13" s="267">
        <v>1</v>
      </c>
      <c r="G13" s="268">
        <v>1753</v>
      </c>
      <c r="H13" s="268">
        <v>24.38</v>
      </c>
      <c r="I13" s="274" t="s">
        <v>2657</v>
      </c>
      <c r="J13" s="113" t="s">
        <v>2738</v>
      </c>
      <c r="K13" s="266">
        <v>24.38</v>
      </c>
      <c r="L13" s="266" t="s">
        <v>2739</v>
      </c>
      <c r="M13" s="275" t="s">
        <v>2740</v>
      </c>
      <c r="N13" s="113" t="s">
        <v>66</v>
      </c>
      <c r="O13" s="113"/>
      <c r="P13" s="113"/>
      <c r="Q13" s="113">
        <v>47826.09</v>
      </c>
      <c r="R13" s="113">
        <v>1166000</v>
      </c>
      <c r="S13" s="280">
        <v>586000</v>
      </c>
      <c r="T13" s="281">
        <f t="shared" si="0"/>
        <v>580000</v>
      </c>
      <c r="U13" s="280"/>
      <c r="V13" s="280"/>
      <c r="W13" s="280"/>
      <c r="X13" s="280"/>
      <c r="Y13" s="113"/>
      <c r="Z13" s="113"/>
      <c r="AA13" s="275"/>
      <c r="AB13" s="113"/>
      <c r="AC13" s="113"/>
      <c r="AD13" s="113"/>
      <c r="AE13" s="133"/>
      <c r="AG13" s="133"/>
      <c r="AH13" s="133"/>
      <c r="AI13" s="132">
        <f t="shared" ref="AI13:AI29" si="4">S13+U13+V13+W13+X13+AC13+AD13+AE13</f>
        <v>586000</v>
      </c>
      <c r="AJ13" s="132">
        <f t="shared" ref="AJ13:AJ29" si="5">S13+U13+V13+W13+X13</f>
        <v>586000</v>
      </c>
      <c r="AK13" s="133">
        <f t="shared" si="3"/>
        <v>0</v>
      </c>
      <c r="AL13" s="132"/>
      <c r="AM13" s="133"/>
      <c r="AN13" s="246">
        <v>44841</v>
      </c>
      <c r="AO13" s="137"/>
      <c r="AP13" s="97"/>
      <c r="AQ13" s="97"/>
      <c r="AR13" s="97"/>
      <c r="AS13" s="97"/>
      <c r="AT13" s="97"/>
      <c r="AU13" s="97"/>
      <c r="AV13" s="97"/>
      <c r="AW13" s="97"/>
      <c r="AX13" s="97"/>
      <c r="AY13" s="97"/>
      <c r="AZ13" s="97"/>
      <c r="BA13" s="97"/>
      <c r="BB13" s="97"/>
      <c r="BC13" s="97"/>
      <c r="BD13" s="97"/>
      <c r="BE13" s="97"/>
    </row>
    <row r="14" s="115" customFormat="1" customHeight="1" spans="1:57">
      <c r="A14" s="115" t="s">
        <v>2741</v>
      </c>
      <c r="B14" s="111" t="s">
        <v>2742</v>
      </c>
      <c r="C14" s="111" t="s">
        <v>2743</v>
      </c>
      <c r="D14" s="121" t="s">
        <v>2744</v>
      </c>
      <c r="E14" s="266">
        <v>15638827743</v>
      </c>
      <c r="F14" s="267">
        <v>3</v>
      </c>
      <c r="G14" s="268">
        <v>3318</v>
      </c>
      <c r="H14" s="268">
        <v>16.74</v>
      </c>
      <c r="I14" s="274" t="s">
        <v>2657</v>
      </c>
      <c r="J14" s="113" t="s">
        <v>2745</v>
      </c>
      <c r="K14" s="266">
        <v>16.16</v>
      </c>
      <c r="L14" s="266" t="s">
        <v>2746</v>
      </c>
      <c r="M14" s="275" t="s">
        <v>2747</v>
      </c>
      <c r="N14" s="113" t="s">
        <v>66</v>
      </c>
      <c r="O14" s="113"/>
      <c r="P14" s="113"/>
      <c r="Q14" s="113">
        <v>32416.4</v>
      </c>
      <c r="R14" s="113">
        <v>523849</v>
      </c>
      <c r="S14" s="280">
        <v>263849</v>
      </c>
      <c r="T14" s="281">
        <v>260000</v>
      </c>
      <c r="U14" s="280"/>
      <c r="V14" s="280"/>
      <c r="W14" s="280"/>
      <c r="X14" s="280"/>
      <c r="Y14" s="113"/>
      <c r="Z14" s="113"/>
      <c r="AA14" s="275"/>
      <c r="AB14" s="113" t="s">
        <v>2748</v>
      </c>
      <c r="AC14" s="113"/>
      <c r="AD14" s="113"/>
      <c r="AE14" s="133"/>
      <c r="AF14" s="115" t="s">
        <v>2749</v>
      </c>
      <c r="AG14" s="133"/>
      <c r="AH14" s="133"/>
      <c r="AI14" s="132">
        <f t="shared" si="4"/>
        <v>263849</v>
      </c>
      <c r="AJ14" s="132">
        <f t="shared" si="5"/>
        <v>263849</v>
      </c>
      <c r="AK14" s="133">
        <f t="shared" si="3"/>
        <v>0</v>
      </c>
      <c r="AL14" s="132"/>
      <c r="AM14" s="133"/>
      <c r="AN14" s="246">
        <v>44841</v>
      </c>
      <c r="AO14" s="137"/>
      <c r="AP14" s="97"/>
      <c r="AQ14" s="97"/>
      <c r="AR14" s="97"/>
      <c r="AS14" s="97"/>
      <c r="AT14" s="97"/>
      <c r="AU14" s="97"/>
      <c r="AV14" s="97"/>
      <c r="AW14" s="97"/>
      <c r="AX14" s="97"/>
      <c r="AY14" s="97"/>
      <c r="AZ14" s="97"/>
      <c r="BA14" s="97"/>
      <c r="BB14" s="97"/>
      <c r="BC14" s="97"/>
      <c r="BD14" s="97"/>
      <c r="BE14" s="97"/>
    </row>
    <row r="15" s="115" customFormat="1" customHeight="1" spans="1:57">
      <c r="A15" s="115" t="s">
        <v>2750</v>
      </c>
      <c r="B15" s="111" t="s">
        <v>2751</v>
      </c>
      <c r="C15" s="111" t="s">
        <v>2752</v>
      </c>
      <c r="D15" s="121"/>
      <c r="E15" s="266">
        <v>13703727381</v>
      </c>
      <c r="F15" s="267">
        <v>3</v>
      </c>
      <c r="G15" s="268">
        <v>3964</v>
      </c>
      <c r="H15" s="268">
        <v>29.47</v>
      </c>
      <c r="I15" s="274" t="s">
        <v>2657</v>
      </c>
      <c r="J15" s="113" t="s">
        <v>2753</v>
      </c>
      <c r="K15" s="266">
        <v>26.42</v>
      </c>
      <c r="L15" s="266" t="s">
        <v>2754</v>
      </c>
      <c r="M15" s="275" t="s">
        <v>2754</v>
      </c>
      <c r="N15" s="113" t="s">
        <v>56</v>
      </c>
      <c r="O15" s="113"/>
      <c r="P15" s="113"/>
      <c r="Q15" s="113">
        <v>31292.24</v>
      </c>
      <c r="R15" s="113">
        <v>826741</v>
      </c>
      <c r="S15" s="280">
        <v>826741</v>
      </c>
      <c r="T15" s="281"/>
      <c r="U15" s="280"/>
      <c r="V15" s="280"/>
      <c r="W15" s="280"/>
      <c r="X15" s="280"/>
      <c r="Y15" s="113"/>
      <c r="Z15" s="113"/>
      <c r="AA15" s="275"/>
      <c r="AB15" s="113"/>
      <c r="AC15" s="113"/>
      <c r="AD15" s="113"/>
      <c r="AE15" s="133"/>
      <c r="AF15" s="115" t="s">
        <v>237</v>
      </c>
      <c r="AG15" s="133" t="s">
        <v>160</v>
      </c>
      <c r="AH15" s="133"/>
      <c r="AI15" s="132">
        <f t="shared" si="4"/>
        <v>826741</v>
      </c>
      <c r="AJ15" s="132">
        <f t="shared" si="5"/>
        <v>826741</v>
      </c>
      <c r="AK15" s="133">
        <f t="shared" si="3"/>
        <v>0</v>
      </c>
      <c r="AL15" s="132"/>
      <c r="AM15" s="133"/>
      <c r="AN15" s="246">
        <v>44841</v>
      </c>
      <c r="AO15" s="137"/>
      <c r="AP15" s="97"/>
      <c r="AQ15" s="97"/>
      <c r="AR15" s="97"/>
      <c r="AS15" s="97"/>
      <c r="AT15" s="97"/>
      <c r="AU15" s="97"/>
      <c r="AV15" s="97"/>
      <c r="AW15" s="97"/>
      <c r="AX15" s="97"/>
      <c r="AY15" s="97"/>
      <c r="AZ15" s="97"/>
      <c r="BA15" s="97"/>
      <c r="BB15" s="97"/>
      <c r="BC15" s="97"/>
      <c r="BD15" s="97"/>
      <c r="BE15" s="97"/>
    </row>
    <row r="16" s="115" customFormat="1" customHeight="1" spans="1:57">
      <c r="A16" s="115" t="s">
        <v>2755</v>
      </c>
      <c r="B16" s="111" t="s">
        <v>2751</v>
      </c>
      <c r="C16" s="111" t="s">
        <v>2752</v>
      </c>
      <c r="D16" s="121"/>
      <c r="E16" s="266">
        <v>13703727381</v>
      </c>
      <c r="F16" s="267">
        <v>4</v>
      </c>
      <c r="G16" s="268">
        <v>4327</v>
      </c>
      <c r="H16" s="268">
        <v>54.05</v>
      </c>
      <c r="I16" s="274" t="s">
        <v>2657</v>
      </c>
      <c r="J16" s="113" t="s">
        <v>2756</v>
      </c>
      <c r="K16" s="266">
        <v>54.05</v>
      </c>
      <c r="L16" s="266" t="s">
        <v>2754</v>
      </c>
      <c r="M16" s="275" t="s">
        <v>2754</v>
      </c>
      <c r="N16" s="113" t="s">
        <v>56</v>
      </c>
      <c r="O16" s="113"/>
      <c r="P16" s="113"/>
      <c r="Q16" s="113">
        <v>24791.86</v>
      </c>
      <c r="R16" s="113">
        <v>1340000</v>
      </c>
      <c r="S16" s="280">
        <v>1340000</v>
      </c>
      <c r="T16" s="281"/>
      <c r="U16" s="280"/>
      <c r="V16" s="280"/>
      <c r="W16" s="280"/>
      <c r="X16" s="280"/>
      <c r="Y16" s="113"/>
      <c r="Z16" s="113"/>
      <c r="AA16" s="275"/>
      <c r="AB16" s="113"/>
      <c r="AC16" s="113"/>
      <c r="AD16" s="113"/>
      <c r="AE16" s="133"/>
      <c r="AF16" s="115" t="s">
        <v>237</v>
      </c>
      <c r="AG16" s="133" t="s">
        <v>160</v>
      </c>
      <c r="AH16" s="133"/>
      <c r="AI16" s="132">
        <f t="shared" si="4"/>
        <v>1340000</v>
      </c>
      <c r="AJ16" s="132">
        <f t="shared" si="5"/>
        <v>1340000</v>
      </c>
      <c r="AK16" s="133">
        <f t="shared" si="3"/>
        <v>0</v>
      </c>
      <c r="AL16" s="132"/>
      <c r="AM16" s="133"/>
      <c r="AN16" s="246">
        <v>44841</v>
      </c>
      <c r="AO16" s="137"/>
      <c r="AP16" s="97"/>
      <c r="AQ16" s="97"/>
      <c r="AR16" s="97"/>
      <c r="AS16" s="97"/>
      <c r="AT16" s="97"/>
      <c r="AU16" s="97"/>
      <c r="AV16" s="97"/>
      <c r="AW16" s="97"/>
      <c r="AX16" s="97"/>
      <c r="AY16" s="97"/>
      <c r="AZ16" s="97"/>
      <c r="BA16" s="97"/>
      <c r="BB16" s="97"/>
      <c r="BC16" s="97"/>
      <c r="BD16" s="97"/>
      <c r="BE16" s="97"/>
    </row>
    <row r="17" s="115" customFormat="1" customHeight="1" spans="1:57">
      <c r="A17" s="115" t="s">
        <v>2757</v>
      </c>
      <c r="B17" s="111" t="s">
        <v>2758</v>
      </c>
      <c r="C17" s="111" t="s">
        <v>2759</v>
      </c>
      <c r="D17" s="121" t="s">
        <v>2760</v>
      </c>
      <c r="E17" s="266">
        <v>13071093832</v>
      </c>
      <c r="F17" s="267">
        <v>3</v>
      </c>
      <c r="G17" s="268">
        <v>3738</v>
      </c>
      <c r="H17" s="268">
        <v>15.45</v>
      </c>
      <c r="I17" s="274" t="s">
        <v>2657</v>
      </c>
      <c r="J17" s="113" t="s">
        <v>2761</v>
      </c>
      <c r="K17" s="266">
        <v>15.03</v>
      </c>
      <c r="L17" s="266" t="s">
        <v>2762</v>
      </c>
      <c r="M17" s="275" t="s">
        <v>2763</v>
      </c>
      <c r="N17" s="113" t="s">
        <v>66</v>
      </c>
      <c r="O17" s="113"/>
      <c r="P17" s="113"/>
      <c r="Q17" s="113">
        <v>32167.33</v>
      </c>
      <c r="R17" s="113">
        <v>496985</v>
      </c>
      <c r="S17" s="280">
        <v>256985</v>
      </c>
      <c r="T17" s="281">
        <v>240000</v>
      </c>
      <c r="U17" s="280"/>
      <c r="V17" s="280">
        <v>1004</v>
      </c>
      <c r="W17" s="280">
        <v>550</v>
      </c>
      <c r="X17" s="280"/>
      <c r="Y17" s="113" t="s">
        <v>2669</v>
      </c>
      <c r="Z17" s="113"/>
      <c r="AA17" s="275"/>
      <c r="AB17" s="113" t="s">
        <v>2764</v>
      </c>
      <c r="AC17" s="113">
        <v>1244.8</v>
      </c>
      <c r="AD17" s="113"/>
      <c r="AE17" s="133"/>
      <c r="AG17" s="133"/>
      <c r="AH17" s="133"/>
      <c r="AI17" s="132">
        <f t="shared" si="4"/>
        <v>259783.8</v>
      </c>
      <c r="AJ17" s="132">
        <f t="shared" si="5"/>
        <v>258539</v>
      </c>
      <c r="AK17" s="133">
        <f t="shared" si="3"/>
        <v>1244.79999999999</v>
      </c>
      <c r="AL17" s="132"/>
      <c r="AM17" s="133"/>
      <c r="AN17" s="246">
        <v>44841</v>
      </c>
      <c r="AO17" s="137"/>
      <c r="AP17" s="97"/>
      <c r="AQ17" s="97"/>
      <c r="AR17" s="97"/>
      <c r="AS17" s="97"/>
      <c r="AT17" s="97"/>
      <c r="AU17" s="97"/>
      <c r="AV17" s="97"/>
      <c r="AW17" s="97"/>
      <c r="AX17" s="97"/>
      <c r="AY17" s="97"/>
      <c r="AZ17" s="97"/>
      <c r="BA17" s="97"/>
      <c r="BB17" s="97"/>
      <c r="BC17" s="97"/>
      <c r="BD17" s="97"/>
      <c r="BE17" s="97"/>
    </row>
    <row r="18" s="115" customFormat="1" customHeight="1" spans="1:57">
      <c r="A18" s="115" t="s">
        <v>2765</v>
      </c>
      <c r="B18" s="111" t="s">
        <v>2766</v>
      </c>
      <c r="C18" s="554" t="s">
        <v>2767</v>
      </c>
      <c r="D18" s="121" t="s">
        <v>2768</v>
      </c>
      <c r="E18" s="266">
        <v>18737121868</v>
      </c>
      <c r="F18" s="267">
        <v>1</v>
      </c>
      <c r="G18" s="268">
        <v>1105</v>
      </c>
      <c r="H18" s="268">
        <v>23.57</v>
      </c>
      <c r="I18" s="274" t="s">
        <v>2657</v>
      </c>
      <c r="J18" s="113" t="s">
        <v>2769</v>
      </c>
      <c r="K18" s="266">
        <v>21.09</v>
      </c>
      <c r="L18" s="266" t="s">
        <v>2659</v>
      </c>
      <c r="M18" s="275" t="s">
        <v>2770</v>
      </c>
      <c r="N18" s="113" t="s">
        <v>66</v>
      </c>
      <c r="O18" s="113"/>
      <c r="P18" s="113"/>
      <c r="Q18" s="113">
        <v>47267.24</v>
      </c>
      <c r="R18" s="113">
        <v>996866</v>
      </c>
      <c r="S18" s="280">
        <v>506866</v>
      </c>
      <c r="T18" s="281">
        <f t="shared" ref="T18:T22" si="6">R18-S18</f>
        <v>490000</v>
      </c>
      <c r="U18" s="280"/>
      <c r="V18" s="280"/>
      <c r="W18" s="280"/>
      <c r="X18" s="280"/>
      <c r="Y18" s="113"/>
      <c r="Z18" s="113"/>
      <c r="AA18" s="275"/>
      <c r="AB18" s="113"/>
      <c r="AC18" s="113"/>
      <c r="AD18" s="113"/>
      <c r="AE18" s="133"/>
      <c r="AF18" s="115" t="s">
        <v>2771</v>
      </c>
      <c r="AG18" s="133" t="s">
        <v>2772</v>
      </c>
      <c r="AH18" s="133"/>
      <c r="AI18" s="132">
        <f t="shared" si="4"/>
        <v>506866</v>
      </c>
      <c r="AJ18" s="132">
        <f t="shared" si="5"/>
        <v>506866</v>
      </c>
      <c r="AK18" s="133">
        <f t="shared" si="3"/>
        <v>0</v>
      </c>
      <c r="AL18" s="132"/>
      <c r="AM18" s="133"/>
      <c r="AN18" s="246">
        <v>44841</v>
      </c>
      <c r="AO18" s="137"/>
      <c r="AP18" s="97"/>
      <c r="AQ18" s="97"/>
      <c r="AR18" s="97"/>
      <c r="AS18" s="97"/>
      <c r="AT18" s="97"/>
      <c r="AU18" s="97"/>
      <c r="AV18" s="97"/>
      <c r="AW18" s="97"/>
      <c r="AX18" s="97"/>
      <c r="AY18" s="97"/>
      <c r="AZ18" s="97"/>
      <c r="BA18" s="97"/>
      <c r="BB18" s="97"/>
      <c r="BC18" s="97"/>
      <c r="BD18" s="97"/>
      <c r="BE18" s="97"/>
    </row>
    <row r="19" s="115" customFormat="1" customHeight="1" spans="1:57">
      <c r="A19" s="115" t="s">
        <v>2773</v>
      </c>
      <c r="B19" s="111" t="s">
        <v>2774</v>
      </c>
      <c r="C19" s="111" t="s">
        <v>2775</v>
      </c>
      <c r="D19" s="121" t="s">
        <v>2776</v>
      </c>
      <c r="E19" s="266">
        <v>13838009360</v>
      </c>
      <c r="F19" s="267">
        <v>3</v>
      </c>
      <c r="G19" s="268">
        <v>3988</v>
      </c>
      <c r="H19" s="268">
        <v>20.04</v>
      </c>
      <c r="I19" s="274" t="s">
        <v>2657</v>
      </c>
      <c r="J19" s="113" t="s">
        <v>2777</v>
      </c>
      <c r="K19" s="266">
        <v>16.48</v>
      </c>
      <c r="L19" s="266" t="s">
        <v>2754</v>
      </c>
      <c r="M19" s="275" t="s">
        <v>2778</v>
      </c>
      <c r="N19" s="113" t="s">
        <v>66</v>
      </c>
      <c r="O19" s="113"/>
      <c r="P19" s="113"/>
      <c r="Q19" s="113">
        <v>32160.19</v>
      </c>
      <c r="R19" s="113">
        <v>530000</v>
      </c>
      <c r="S19" s="280">
        <v>270000</v>
      </c>
      <c r="T19" s="281">
        <f t="shared" si="6"/>
        <v>260000</v>
      </c>
      <c r="U19" s="280"/>
      <c r="V19" s="280"/>
      <c r="W19" s="280"/>
      <c r="X19" s="280"/>
      <c r="Y19" s="113"/>
      <c r="Z19" s="113"/>
      <c r="AA19" s="275"/>
      <c r="AB19" s="113"/>
      <c r="AC19" s="113"/>
      <c r="AD19" s="113"/>
      <c r="AE19" s="133"/>
      <c r="AF19" s="115" t="s">
        <v>123</v>
      </c>
      <c r="AG19" s="133" t="s">
        <v>160</v>
      </c>
      <c r="AH19" s="133"/>
      <c r="AI19" s="132">
        <f t="shared" si="4"/>
        <v>270000</v>
      </c>
      <c r="AJ19" s="132">
        <f t="shared" si="5"/>
        <v>270000</v>
      </c>
      <c r="AK19" s="133">
        <f t="shared" si="3"/>
        <v>0</v>
      </c>
      <c r="AL19" s="132"/>
      <c r="AM19" s="133"/>
      <c r="AN19" s="246">
        <v>44841</v>
      </c>
      <c r="AO19" s="137"/>
      <c r="AP19" s="97"/>
      <c r="AQ19" s="97"/>
      <c r="AR19" s="97"/>
      <c r="AS19" s="97"/>
      <c r="AT19" s="97"/>
      <c r="AU19" s="97"/>
      <c r="AV19" s="97"/>
      <c r="AW19" s="97"/>
      <c r="AX19" s="97"/>
      <c r="AY19" s="97"/>
      <c r="AZ19" s="97"/>
      <c r="BA19" s="97"/>
      <c r="BB19" s="97"/>
      <c r="BC19" s="97"/>
      <c r="BD19" s="97"/>
      <c r="BE19" s="97"/>
    </row>
    <row r="20" s="115" customFormat="1" customHeight="1" spans="1:57">
      <c r="A20" s="115" t="s">
        <v>2779</v>
      </c>
      <c r="B20" s="111" t="s">
        <v>2780</v>
      </c>
      <c r="C20" s="554" t="s">
        <v>2781</v>
      </c>
      <c r="D20" s="121" t="s">
        <v>2782</v>
      </c>
      <c r="E20" s="266">
        <v>15617800113</v>
      </c>
      <c r="F20" s="267">
        <v>3</v>
      </c>
      <c r="G20" s="268">
        <v>3372</v>
      </c>
      <c r="H20" s="268">
        <v>19.42</v>
      </c>
      <c r="I20" s="274" t="s">
        <v>2657</v>
      </c>
      <c r="J20" s="113" t="s">
        <v>2783</v>
      </c>
      <c r="K20" s="266">
        <v>19.01</v>
      </c>
      <c r="L20" s="266" t="s">
        <v>2784</v>
      </c>
      <c r="M20" s="275" t="s">
        <v>2785</v>
      </c>
      <c r="N20" s="113" t="s">
        <v>66</v>
      </c>
      <c r="O20" s="113"/>
      <c r="P20" s="113"/>
      <c r="Q20" s="113">
        <v>30504.68</v>
      </c>
      <c r="R20" s="113">
        <v>579894</v>
      </c>
      <c r="S20" s="280">
        <v>299894</v>
      </c>
      <c r="T20" s="281">
        <f t="shared" si="6"/>
        <v>280000</v>
      </c>
      <c r="U20" s="280"/>
      <c r="V20" s="280"/>
      <c r="W20" s="280"/>
      <c r="X20" s="280"/>
      <c r="Y20" s="113"/>
      <c r="Z20" s="113"/>
      <c r="AA20" s="275"/>
      <c r="AB20" s="113" t="s">
        <v>2786</v>
      </c>
      <c r="AC20" s="113"/>
      <c r="AD20" s="113"/>
      <c r="AE20" s="133"/>
      <c r="AF20" s="115" t="s">
        <v>208</v>
      </c>
      <c r="AG20" s="133" t="s">
        <v>2787</v>
      </c>
      <c r="AH20" s="133"/>
      <c r="AI20" s="132">
        <f t="shared" si="4"/>
        <v>299894</v>
      </c>
      <c r="AJ20" s="132">
        <f t="shared" si="5"/>
        <v>299894</v>
      </c>
      <c r="AK20" s="133">
        <f t="shared" si="3"/>
        <v>0</v>
      </c>
      <c r="AL20" s="132"/>
      <c r="AM20" s="133"/>
      <c r="AN20" s="246">
        <v>44841</v>
      </c>
      <c r="AO20" s="137"/>
      <c r="AP20" s="97"/>
      <c r="AQ20" s="97"/>
      <c r="AR20" s="97"/>
      <c r="AS20" s="97"/>
      <c r="AT20" s="97"/>
      <c r="AU20" s="97"/>
      <c r="AV20" s="97"/>
      <c r="AW20" s="97"/>
      <c r="AX20" s="97"/>
      <c r="AY20" s="97"/>
      <c r="AZ20" s="97"/>
      <c r="BA20" s="97"/>
      <c r="BB20" s="97"/>
      <c r="BC20" s="97"/>
      <c r="BD20" s="97"/>
      <c r="BE20" s="97"/>
    </row>
    <row r="21" s="115" customFormat="1" customHeight="1" spans="1:58">
      <c r="A21" s="115" t="s">
        <v>2788</v>
      </c>
      <c r="B21" s="111" t="s">
        <v>2789</v>
      </c>
      <c r="C21" s="554" t="s">
        <v>2790</v>
      </c>
      <c r="D21" s="121" t="s">
        <v>2791</v>
      </c>
      <c r="E21" s="266">
        <v>13700862021</v>
      </c>
      <c r="F21" s="267">
        <v>4</v>
      </c>
      <c r="G21" s="268">
        <v>436</v>
      </c>
      <c r="H21" s="268">
        <v>30.77</v>
      </c>
      <c r="I21" s="274" t="s">
        <v>2665</v>
      </c>
      <c r="J21" s="113" t="s">
        <v>2792</v>
      </c>
      <c r="K21" s="266">
        <v>36.75</v>
      </c>
      <c r="L21" s="266" t="s">
        <v>2793</v>
      </c>
      <c r="M21" s="275"/>
      <c r="N21" s="113" t="s">
        <v>66</v>
      </c>
      <c r="O21" s="113"/>
      <c r="P21" s="113"/>
      <c r="Q21" s="113">
        <v>22197.306122449</v>
      </c>
      <c r="R21" s="113">
        <v>815751</v>
      </c>
      <c r="S21" s="280">
        <v>415751</v>
      </c>
      <c r="T21" s="281">
        <v>400000</v>
      </c>
      <c r="U21" s="280"/>
      <c r="V21" s="280"/>
      <c r="W21" s="280"/>
      <c r="X21" s="280"/>
      <c r="Y21" s="113"/>
      <c r="Z21" s="113"/>
      <c r="AA21" s="275"/>
      <c r="AB21" s="113"/>
      <c r="AC21" s="113"/>
      <c r="AD21" s="113"/>
      <c r="AE21" s="113"/>
      <c r="AG21" s="133"/>
      <c r="AH21" s="133"/>
      <c r="AI21" s="132">
        <f t="shared" si="4"/>
        <v>415751</v>
      </c>
      <c r="AJ21" s="132">
        <f t="shared" si="5"/>
        <v>415751</v>
      </c>
      <c r="AK21" s="133">
        <f t="shared" si="3"/>
        <v>0</v>
      </c>
      <c r="AL21" s="132"/>
      <c r="AM21" s="133"/>
      <c r="AN21" s="246"/>
      <c r="AO21" s="288"/>
      <c r="AP21" s="288"/>
      <c r="AQ21" s="97"/>
      <c r="AR21" s="97"/>
      <c r="AS21" s="97"/>
      <c r="AT21" s="97"/>
      <c r="AU21" s="97"/>
      <c r="AV21" s="97"/>
      <c r="AW21" s="97"/>
      <c r="AX21" s="97"/>
      <c r="AY21" s="97"/>
      <c r="AZ21" s="97"/>
      <c r="BA21" s="97"/>
      <c r="BB21" s="97"/>
      <c r="BC21" s="97"/>
      <c r="BD21" s="97"/>
      <c r="BE21" s="97"/>
      <c r="BF21" s="97"/>
    </row>
    <row r="22" s="115" customFormat="1" customHeight="1" spans="1:58">
      <c r="A22" s="115" t="s">
        <v>2794</v>
      </c>
      <c r="B22" s="111" t="s">
        <v>2795</v>
      </c>
      <c r="C22" s="111" t="s">
        <v>2796</v>
      </c>
      <c r="D22" s="121" t="s">
        <v>2797</v>
      </c>
      <c r="E22" s="266">
        <v>18736059572</v>
      </c>
      <c r="F22" s="267">
        <v>4</v>
      </c>
      <c r="G22" s="268">
        <v>419</v>
      </c>
      <c r="H22" s="268">
        <v>30.01</v>
      </c>
      <c r="I22" s="274" t="s">
        <v>2665</v>
      </c>
      <c r="J22" s="113" t="s">
        <v>2798</v>
      </c>
      <c r="K22" s="266">
        <v>31.83</v>
      </c>
      <c r="L22" s="266" t="s">
        <v>2711</v>
      </c>
      <c r="M22" s="275" t="s">
        <v>2799</v>
      </c>
      <c r="N22" s="113" t="s">
        <v>66</v>
      </c>
      <c r="O22" s="113"/>
      <c r="P22" s="113"/>
      <c r="Q22" s="113">
        <v>20236.7891925856</v>
      </c>
      <c r="R22" s="113">
        <v>644137</v>
      </c>
      <c r="S22" s="280">
        <v>344137</v>
      </c>
      <c r="T22" s="281">
        <f t="shared" si="6"/>
        <v>300000</v>
      </c>
      <c r="U22" s="280"/>
      <c r="V22" s="280"/>
      <c r="W22" s="280"/>
      <c r="X22" s="280"/>
      <c r="Y22" s="113"/>
      <c r="Z22" s="113"/>
      <c r="AA22" s="275"/>
      <c r="AB22" s="113"/>
      <c r="AC22" s="113"/>
      <c r="AD22" s="113"/>
      <c r="AE22" s="113"/>
      <c r="AF22" s="115" t="s">
        <v>2800</v>
      </c>
      <c r="AG22" s="133" t="s">
        <v>160</v>
      </c>
      <c r="AH22" s="133"/>
      <c r="AI22" s="132">
        <f t="shared" si="4"/>
        <v>344137</v>
      </c>
      <c r="AJ22" s="132">
        <f t="shared" si="5"/>
        <v>344137</v>
      </c>
      <c r="AK22" s="133">
        <f t="shared" si="3"/>
        <v>0</v>
      </c>
      <c r="AL22" s="132"/>
      <c r="AM22" s="133"/>
      <c r="AN22" s="246"/>
      <c r="AO22" s="288"/>
      <c r="AP22" s="288"/>
      <c r="AQ22" s="97"/>
      <c r="AR22" s="97"/>
      <c r="AS22" s="97"/>
      <c r="AT22" s="97"/>
      <c r="AU22" s="97"/>
      <c r="AV22" s="97"/>
      <c r="AW22" s="97"/>
      <c r="AX22" s="97"/>
      <c r="AY22" s="97"/>
      <c r="AZ22" s="97"/>
      <c r="BA22" s="97"/>
      <c r="BB22" s="97"/>
      <c r="BC22" s="97"/>
      <c r="BD22" s="97"/>
      <c r="BE22" s="97"/>
      <c r="BF22" s="97"/>
    </row>
    <row r="23" s="115" customFormat="1" customHeight="1" spans="1:57">
      <c r="A23" s="115" t="s">
        <v>2801</v>
      </c>
      <c r="B23" s="111" t="s">
        <v>2802</v>
      </c>
      <c r="C23" s="111" t="s">
        <v>2803</v>
      </c>
      <c r="D23" s="121" t="s">
        <v>2804</v>
      </c>
      <c r="E23" s="266">
        <v>13937171992</v>
      </c>
      <c r="F23" s="267">
        <v>3</v>
      </c>
      <c r="G23" s="268">
        <v>3133</v>
      </c>
      <c r="H23" s="268">
        <v>16.38</v>
      </c>
      <c r="I23" s="274" t="s">
        <v>2657</v>
      </c>
      <c r="J23" s="113" t="s">
        <v>2805</v>
      </c>
      <c r="K23" s="266">
        <v>14.27</v>
      </c>
      <c r="L23" s="266" t="s">
        <v>2806</v>
      </c>
      <c r="M23" s="275" t="s">
        <v>2807</v>
      </c>
      <c r="N23" s="113" t="s">
        <v>66</v>
      </c>
      <c r="O23" s="113"/>
      <c r="P23" s="113"/>
      <c r="Q23" s="113">
        <v>32085.07</v>
      </c>
      <c r="R23" s="113">
        <v>457854</v>
      </c>
      <c r="S23" s="280">
        <v>237854</v>
      </c>
      <c r="T23" s="281">
        <v>220000</v>
      </c>
      <c r="U23" s="280"/>
      <c r="V23" s="280"/>
      <c r="W23" s="280"/>
      <c r="X23" s="280"/>
      <c r="Y23" s="113"/>
      <c r="Z23" s="113"/>
      <c r="AA23" s="275"/>
      <c r="AB23" s="113"/>
      <c r="AC23" s="113"/>
      <c r="AD23" s="113"/>
      <c r="AE23" s="133"/>
      <c r="AF23" s="115" t="s">
        <v>237</v>
      </c>
      <c r="AG23" s="133"/>
      <c r="AH23" s="133"/>
      <c r="AI23" s="132">
        <f t="shared" si="4"/>
        <v>237854</v>
      </c>
      <c r="AJ23" s="132">
        <f t="shared" si="5"/>
        <v>237854</v>
      </c>
      <c r="AK23" s="133">
        <f t="shared" ref="AK23:AK70" si="7">AI23-AJ23</f>
        <v>0</v>
      </c>
      <c r="AL23" s="132"/>
      <c r="AM23" s="133"/>
      <c r="AN23" s="246">
        <v>44841</v>
      </c>
      <c r="AO23" s="137"/>
      <c r="AP23" s="97"/>
      <c r="AQ23" s="97"/>
      <c r="AR23" s="97"/>
      <c r="AS23" s="97"/>
      <c r="AT23" s="97"/>
      <c r="AU23" s="97"/>
      <c r="AV23" s="97"/>
      <c r="AW23" s="97"/>
      <c r="AX23" s="97"/>
      <c r="AY23" s="97"/>
      <c r="AZ23" s="97"/>
      <c r="BA23" s="97"/>
      <c r="BB23" s="97"/>
      <c r="BC23" s="97"/>
      <c r="BD23" s="97"/>
      <c r="BE23" s="97"/>
    </row>
    <row r="24" s="115" customFormat="1" customHeight="1" spans="1:57">
      <c r="A24" s="115" t="s">
        <v>2808</v>
      </c>
      <c r="B24" s="111" t="s">
        <v>2809</v>
      </c>
      <c r="C24" s="554" t="s">
        <v>2810</v>
      </c>
      <c r="D24" s="121" t="s">
        <v>2811</v>
      </c>
      <c r="E24" s="266">
        <v>13461804688</v>
      </c>
      <c r="F24" s="267">
        <v>4</v>
      </c>
      <c r="G24" s="268">
        <v>4157</v>
      </c>
      <c r="H24" s="268">
        <v>53.31</v>
      </c>
      <c r="I24" s="274" t="s">
        <v>2665</v>
      </c>
      <c r="J24" s="113" t="s">
        <v>2812</v>
      </c>
      <c r="K24" s="266">
        <v>60.6</v>
      </c>
      <c r="L24" s="266" t="s">
        <v>2813</v>
      </c>
      <c r="M24" s="275" t="s">
        <v>2814</v>
      </c>
      <c r="N24" s="113" t="s">
        <v>56</v>
      </c>
      <c r="O24" s="113"/>
      <c r="P24" s="113"/>
      <c r="Q24" s="113">
        <v>21660.01</v>
      </c>
      <c r="R24" s="113">
        <v>1154695</v>
      </c>
      <c r="S24" s="280">
        <v>1154695</v>
      </c>
      <c r="T24" s="281">
        <v>0</v>
      </c>
      <c r="U24" s="280"/>
      <c r="V24" s="280">
        <v>3465</v>
      </c>
      <c r="W24" s="280">
        <v>550</v>
      </c>
      <c r="X24" s="280">
        <v>153886</v>
      </c>
      <c r="Y24" s="113" t="s">
        <v>2669</v>
      </c>
      <c r="Z24" s="113" t="s">
        <v>48</v>
      </c>
      <c r="AA24" s="275">
        <v>44025</v>
      </c>
      <c r="AB24" s="113"/>
      <c r="AC24" s="113"/>
      <c r="AD24" s="113"/>
      <c r="AE24" s="133"/>
      <c r="AG24" s="133"/>
      <c r="AH24" s="133"/>
      <c r="AI24" s="132">
        <f t="shared" si="4"/>
        <v>1312596</v>
      </c>
      <c r="AJ24" s="132">
        <f t="shared" si="5"/>
        <v>1312596</v>
      </c>
      <c r="AK24" s="133">
        <f t="shared" si="7"/>
        <v>0</v>
      </c>
      <c r="AL24" s="132"/>
      <c r="AM24" s="133"/>
      <c r="AN24" s="246">
        <v>44841</v>
      </c>
      <c r="AO24" s="137"/>
      <c r="AP24" s="97"/>
      <c r="AQ24" s="97"/>
      <c r="AR24" s="97"/>
      <c r="AS24" s="97"/>
      <c r="AT24" s="97"/>
      <c r="AU24" s="97"/>
      <c r="AV24" s="97"/>
      <c r="AW24" s="97"/>
      <c r="AX24" s="97"/>
      <c r="AY24" s="97"/>
      <c r="AZ24" s="97"/>
      <c r="BA24" s="97"/>
      <c r="BB24" s="97"/>
      <c r="BC24" s="97"/>
      <c r="BD24" s="97"/>
      <c r="BE24" s="97"/>
    </row>
    <row r="25" s="115" customFormat="1" customHeight="1" spans="1:57">
      <c r="A25" s="115" t="s">
        <v>2815</v>
      </c>
      <c r="B25" s="111" t="s">
        <v>2816</v>
      </c>
      <c r="C25" s="111" t="s">
        <v>2817</v>
      </c>
      <c r="D25" s="121" t="s">
        <v>2818</v>
      </c>
      <c r="E25" s="266">
        <v>15639927118</v>
      </c>
      <c r="F25" s="267">
        <v>1</v>
      </c>
      <c r="G25" s="268">
        <v>1345</v>
      </c>
      <c r="H25" s="268">
        <v>23.14</v>
      </c>
      <c r="I25" s="274" t="s">
        <v>2657</v>
      </c>
      <c r="J25" s="113" t="s">
        <v>2819</v>
      </c>
      <c r="K25" s="266">
        <v>20.78</v>
      </c>
      <c r="L25" s="266" t="s">
        <v>2820</v>
      </c>
      <c r="M25" s="275" t="s">
        <v>2820</v>
      </c>
      <c r="N25" s="113" t="s">
        <v>56</v>
      </c>
      <c r="O25" s="113"/>
      <c r="P25" s="113"/>
      <c r="Q25" s="113">
        <v>47160.73</v>
      </c>
      <c r="R25" s="113">
        <v>980000</v>
      </c>
      <c r="S25" s="280">
        <v>980000</v>
      </c>
      <c r="T25" s="281"/>
      <c r="U25" s="280"/>
      <c r="V25" s="280"/>
      <c r="W25" s="280"/>
      <c r="X25" s="280"/>
      <c r="Y25" s="113"/>
      <c r="Z25" s="113"/>
      <c r="AA25" s="275"/>
      <c r="AB25" s="113"/>
      <c r="AC25" s="113"/>
      <c r="AD25" s="113"/>
      <c r="AE25" s="133"/>
      <c r="AF25" s="115" t="s">
        <v>123</v>
      </c>
      <c r="AG25" s="133"/>
      <c r="AH25" s="133"/>
      <c r="AI25" s="132">
        <f t="shared" si="4"/>
        <v>980000</v>
      </c>
      <c r="AJ25" s="132">
        <f t="shared" si="5"/>
        <v>980000</v>
      </c>
      <c r="AK25" s="133">
        <f t="shared" si="7"/>
        <v>0</v>
      </c>
      <c r="AL25" s="132"/>
      <c r="AM25" s="133"/>
      <c r="AN25" s="246">
        <v>44841</v>
      </c>
      <c r="AO25" s="137"/>
      <c r="AP25" s="97"/>
      <c r="AQ25" s="97"/>
      <c r="AR25" s="97"/>
      <c r="AS25" s="97"/>
      <c r="AT25" s="97"/>
      <c r="AU25" s="97"/>
      <c r="AV25" s="97"/>
      <c r="AW25" s="97"/>
      <c r="AX25" s="97"/>
      <c r="AY25" s="97"/>
      <c r="AZ25" s="97"/>
      <c r="BA25" s="97"/>
      <c r="BB25" s="97"/>
      <c r="BC25" s="97"/>
      <c r="BD25" s="97"/>
      <c r="BE25" s="97"/>
    </row>
    <row r="26" s="115" customFormat="1" customHeight="1" spans="1:57">
      <c r="A26" s="115" t="s">
        <v>2821</v>
      </c>
      <c r="B26" s="111" t="s">
        <v>2822</v>
      </c>
      <c r="C26" s="554" t="s">
        <v>2823</v>
      </c>
      <c r="D26" s="121" t="s">
        <v>2824</v>
      </c>
      <c r="E26" s="266" t="s">
        <v>2825</v>
      </c>
      <c r="F26" s="267">
        <v>3</v>
      </c>
      <c r="G26" s="268">
        <v>377</v>
      </c>
      <c r="H26" s="268">
        <v>35.23</v>
      </c>
      <c r="I26" s="274" t="s">
        <v>2665</v>
      </c>
      <c r="J26" s="113" t="s">
        <v>2826</v>
      </c>
      <c r="K26" s="266">
        <v>39.05</v>
      </c>
      <c r="L26" s="266" t="s">
        <v>2711</v>
      </c>
      <c r="M26" s="275" t="s">
        <v>2799</v>
      </c>
      <c r="N26" s="113" t="s">
        <v>56</v>
      </c>
      <c r="O26" s="113"/>
      <c r="P26" s="113"/>
      <c r="Q26" s="113">
        <v>22415.4929577465</v>
      </c>
      <c r="R26" s="113">
        <v>875325</v>
      </c>
      <c r="S26" s="280">
        <v>875325</v>
      </c>
      <c r="T26" s="281">
        <f>R26-S26</f>
        <v>0</v>
      </c>
      <c r="U26" s="280"/>
      <c r="V26" s="280"/>
      <c r="W26" s="280"/>
      <c r="X26" s="280"/>
      <c r="Y26" s="113"/>
      <c r="Z26" s="113"/>
      <c r="AA26" s="275"/>
      <c r="AB26" s="113"/>
      <c r="AC26" s="113"/>
      <c r="AD26" s="113"/>
      <c r="AE26" s="133"/>
      <c r="AF26" s="115" t="s">
        <v>2827</v>
      </c>
      <c r="AG26" s="133"/>
      <c r="AH26" s="133"/>
      <c r="AI26" s="132">
        <f t="shared" si="4"/>
        <v>875325</v>
      </c>
      <c r="AJ26" s="132">
        <f t="shared" si="5"/>
        <v>875325</v>
      </c>
      <c r="AK26" s="133">
        <f t="shared" si="7"/>
        <v>0</v>
      </c>
      <c r="AL26" s="132"/>
      <c r="AM26" s="133"/>
      <c r="AN26" s="246">
        <v>44841</v>
      </c>
      <c r="AO26" s="137"/>
      <c r="AP26" s="97"/>
      <c r="AQ26" s="97"/>
      <c r="AR26" s="97"/>
      <c r="AS26" s="97"/>
      <c r="AT26" s="97"/>
      <c r="AU26" s="97"/>
      <c r="AV26" s="97"/>
      <c r="AW26" s="97"/>
      <c r="AX26" s="97"/>
      <c r="AY26" s="97"/>
      <c r="AZ26" s="97"/>
      <c r="BA26" s="97"/>
      <c r="BB26" s="97"/>
      <c r="BC26" s="97"/>
      <c r="BD26" s="97"/>
      <c r="BE26" s="97"/>
    </row>
    <row r="27" s="115" customFormat="1" customHeight="1" spans="1:57">
      <c r="A27" s="115" t="s">
        <v>2828</v>
      </c>
      <c r="B27" s="111" t="s">
        <v>2829</v>
      </c>
      <c r="C27" s="111" t="s">
        <v>2830</v>
      </c>
      <c r="D27" s="121" t="s">
        <v>2831</v>
      </c>
      <c r="E27" s="266" t="s">
        <v>2832</v>
      </c>
      <c r="F27" s="267">
        <v>1</v>
      </c>
      <c r="G27" s="268">
        <v>1707</v>
      </c>
      <c r="H27" s="268">
        <v>28.5</v>
      </c>
      <c r="I27" s="274" t="s">
        <v>2657</v>
      </c>
      <c r="J27" s="113" t="s">
        <v>2833</v>
      </c>
      <c r="K27" s="266">
        <v>28.11</v>
      </c>
      <c r="L27" s="266" t="s">
        <v>2834</v>
      </c>
      <c r="M27" s="275" t="s">
        <v>2835</v>
      </c>
      <c r="N27" s="113" t="s">
        <v>66</v>
      </c>
      <c r="O27" s="113"/>
      <c r="P27" s="113"/>
      <c r="Q27" s="113">
        <v>48068.59</v>
      </c>
      <c r="R27" s="113">
        <v>1369955</v>
      </c>
      <c r="S27" s="280">
        <v>689955</v>
      </c>
      <c r="T27" s="281">
        <v>680000</v>
      </c>
      <c r="U27" s="280"/>
      <c r="V27" s="280">
        <v>1852</v>
      </c>
      <c r="W27" s="280">
        <v>550</v>
      </c>
      <c r="X27" s="280"/>
      <c r="Y27" s="113"/>
      <c r="Z27" s="113"/>
      <c r="AA27" s="275"/>
      <c r="AB27" s="113" t="s">
        <v>2836</v>
      </c>
      <c r="AC27" s="113">
        <v>1288</v>
      </c>
      <c r="AD27" s="113"/>
      <c r="AE27" s="133"/>
      <c r="AG27" s="133"/>
      <c r="AH27" s="133"/>
      <c r="AI27" s="132">
        <f t="shared" si="4"/>
        <v>693645</v>
      </c>
      <c r="AJ27" s="132">
        <f t="shared" si="5"/>
        <v>692357</v>
      </c>
      <c r="AK27" s="133">
        <f t="shared" si="7"/>
        <v>1288</v>
      </c>
      <c r="AL27" s="132"/>
      <c r="AM27" s="133"/>
      <c r="AN27" s="246">
        <v>44841</v>
      </c>
      <c r="AO27" s="137"/>
      <c r="AP27" s="97"/>
      <c r="AQ27" s="97"/>
      <c r="AR27" s="97"/>
      <c r="AS27" s="97"/>
      <c r="AT27" s="97"/>
      <c r="AU27" s="97"/>
      <c r="AV27" s="97"/>
      <c r="AW27" s="97"/>
      <c r="AX27" s="97"/>
      <c r="AY27" s="97"/>
      <c r="AZ27" s="97"/>
      <c r="BA27" s="97"/>
      <c r="BB27" s="97"/>
      <c r="BC27" s="97"/>
      <c r="BD27" s="97"/>
      <c r="BE27" s="97"/>
    </row>
    <row r="28" s="115" customFormat="1" customHeight="1" spans="1:57">
      <c r="A28" s="115" t="s">
        <v>2837</v>
      </c>
      <c r="B28" s="111" t="s">
        <v>2838</v>
      </c>
      <c r="C28" s="554" t="s">
        <v>2839</v>
      </c>
      <c r="D28" s="121" t="s">
        <v>2840</v>
      </c>
      <c r="E28" s="266">
        <v>15890151976</v>
      </c>
      <c r="F28" s="267">
        <v>4</v>
      </c>
      <c r="G28" s="268">
        <v>4440</v>
      </c>
      <c r="H28" s="268">
        <v>16.88</v>
      </c>
      <c r="I28" s="274" t="s">
        <v>2657</v>
      </c>
      <c r="J28" s="113" t="s">
        <v>2841</v>
      </c>
      <c r="K28" s="266">
        <v>14.16</v>
      </c>
      <c r="L28" s="266" t="s">
        <v>2842</v>
      </c>
      <c r="M28" s="275" t="s">
        <v>2718</v>
      </c>
      <c r="N28" s="113" t="s">
        <v>66</v>
      </c>
      <c r="O28" s="113"/>
      <c r="P28" s="113"/>
      <c r="Q28" s="113">
        <v>26928.46</v>
      </c>
      <c r="R28" s="113">
        <v>381307</v>
      </c>
      <c r="S28" s="280">
        <v>191307</v>
      </c>
      <c r="T28" s="281">
        <v>190000</v>
      </c>
      <c r="U28" s="280"/>
      <c r="V28" s="280"/>
      <c r="W28" s="280"/>
      <c r="X28" s="280"/>
      <c r="Y28" s="113"/>
      <c r="Z28" s="113"/>
      <c r="AA28" s="275"/>
      <c r="AB28" s="113"/>
      <c r="AC28" s="113"/>
      <c r="AD28" s="113"/>
      <c r="AE28" s="133"/>
      <c r="AG28" s="133"/>
      <c r="AH28" s="133"/>
      <c r="AI28" s="132">
        <f t="shared" si="4"/>
        <v>191307</v>
      </c>
      <c r="AJ28" s="132">
        <f t="shared" si="5"/>
        <v>191307</v>
      </c>
      <c r="AK28" s="133">
        <f t="shared" si="7"/>
        <v>0</v>
      </c>
      <c r="AL28" s="132"/>
      <c r="AM28" s="133"/>
      <c r="AN28" s="246">
        <v>44841</v>
      </c>
      <c r="AO28" s="137"/>
      <c r="AP28" s="97"/>
      <c r="AQ28" s="97"/>
      <c r="AR28" s="97"/>
      <c r="AS28" s="97"/>
      <c r="AT28" s="97"/>
      <c r="AU28" s="97"/>
      <c r="AV28" s="97"/>
      <c r="AW28" s="97"/>
      <c r="AX28" s="97"/>
      <c r="AY28" s="97"/>
      <c r="AZ28" s="97"/>
      <c r="BA28" s="97"/>
      <c r="BB28" s="97"/>
      <c r="BC28" s="97"/>
      <c r="BD28" s="97"/>
      <c r="BE28" s="97"/>
    </row>
    <row r="29" s="115" customFormat="1" customHeight="1" spans="1:57">
      <c r="A29" s="115" t="s">
        <v>2843</v>
      </c>
      <c r="B29" s="111" t="s">
        <v>2844</v>
      </c>
      <c r="C29" s="554" t="s">
        <v>2845</v>
      </c>
      <c r="D29" s="121" t="s">
        <v>2846</v>
      </c>
      <c r="E29" s="266">
        <v>18703653175</v>
      </c>
      <c r="F29" s="267">
        <v>1</v>
      </c>
      <c r="G29" s="268">
        <v>173</v>
      </c>
      <c r="H29" s="268">
        <v>22.98</v>
      </c>
      <c r="I29" s="274" t="s">
        <v>2657</v>
      </c>
      <c r="J29" s="113" t="s">
        <v>2847</v>
      </c>
      <c r="K29" s="266">
        <v>25.4</v>
      </c>
      <c r="L29" s="266" t="s">
        <v>2705</v>
      </c>
      <c r="M29" s="275" t="s">
        <v>2848</v>
      </c>
      <c r="N29" s="113" t="s">
        <v>66</v>
      </c>
      <c r="O29" s="113"/>
      <c r="P29" s="113"/>
      <c r="Q29" s="113">
        <v>47276.61</v>
      </c>
      <c r="R29" s="113">
        <v>1200826</v>
      </c>
      <c r="S29" s="280">
        <v>600826</v>
      </c>
      <c r="T29" s="281">
        <v>600000</v>
      </c>
      <c r="U29" s="280"/>
      <c r="V29" s="280"/>
      <c r="W29" s="280"/>
      <c r="X29" s="280"/>
      <c r="Y29" s="113"/>
      <c r="Z29" s="113"/>
      <c r="AA29" s="275"/>
      <c r="AB29" s="113"/>
      <c r="AC29" s="113"/>
      <c r="AD29" s="113"/>
      <c r="AE29" s="133"/>
      <c r="AF29" s="115" t="s">
        <v>123</v>
      </c>
      <c r="AG29" s="133" t="s">
        <v>160</v>
      </c>
      <c r="AH29" s="133"/>
      <c r="AI29" s="132">
        <f t="shared" si="4"/>
        <v>600826</v>
      </c>
      <c r="AJ29" s="132">
        <f t="shared" si="5"/>
        <v>600826</v>
      </c>
      <c r="AK29" s="133">
        <f t="shared" si="7"/>
        <v>0</v>
      </c>
      <c r="AL29" s="132"/>
      <c r="AM29" s="133"/>
      <c r="AN29" s="246">
        <v>44841</v>
      </c>
      <c r="AO29" s="137"/>
      <c r="AP29" s="97"/>
      <c r="AQ29" s="97"/>
      <c r="AR29" s="97"/>
      <c r="AS29" s="97"/>
      <c r="AT29" s="97"/>
      <c r="AU29" s="97"/>
      <c r="AV29" s="97"/>
      <c r="AW29" s="97"/>
      <c r="AX29" s="97"/>
      <c r="AY29" s="97"/>
      <c r="AZ29" s="97"/>
      <c r="BA29" s="97"/>
      <c r="BB29" s="97"/>
      <c r="BC29" s="97"/>
      <c r="BD29" s="97"/>
      <c r="BE29" s="97"/>
    </row>
    <row r="30" s="115" customFormat="1" customHeight="1" spans="1:57">
      <c r="A30" s="115" t="s">
        <v>2849</v>
      </c>
      <c r="B30" s="111" t="s">
        <v>2850</v>
      </c>
      <c r="C30" s="111" t="s">
        <v>2851</v>
      </c>
      <c r="D30" s="121" t="s">
        <v>2852</v>
      </c>
      <c r="E30" s="266">
        <v>18600961644</v>
      </c>
      <c r="F30" s="267">
        <v>3</v>
      </c>
      <c r="G30" s="268">
        <v>3732</v>
      </c>
      <c r="H30" s="268">
        <v>15.45</v>
      </c>
      <c r="I30" s="274" t="s">
        <v>2657</v>
      </c>
      <c r="J30" s="113" t="s">
        <v>2853</v>
      </c>
      <c r="K30" s="266">
        <v>15.03</v>
      </c>
      <c r="L30" s="266" t="s">
        <v>2762</v>
      </c>
      <c r="M30" s="275" t="s">
        <v>2854</v>
      </c>
      <c r="N30" s="113" t="s">
        <v>66</v>
      </c>
      <c r="O30" s="113"/>
      <c r="P30" s="113"/>
      <c r="Q30" s="113">
        <v>32495.54</v>
      </c>
      <c r="R30" s="113">
        <v>488408</v>
      </c>
      <c r="S30" s="280">
        <v>248408</v>
      </c>
      <c r="T30" s="281">
        <v>240000</v>
      </c>
      <c r="U30" s="280"/>
      <c r="V30" s="280"/>
      <c r="W30" s="280"/>
      <c r="X30" s="280"/>
      <c r="Y30" s="113"/>
      <c r="Z30" s="113"/>
      <c r="AA30" s="275"/>
      <c r="AB30" s="113" t="s">
        <v>2855</v>
      </c>
      <c r="AC30" s="113"/>
      <c r="AD30" s="113"/>
      <c r="AE30" s="133"/>
      <c r="AG30" s="133"/>
      <c r="AH30" s="133"/>
      <c r="AI30" s="132">
        <f t="shared" ref="AI30:AI40" si="8">S30+U30+V30+W30+X30+AC30+AD30+AE30</f>
        <v>248408</v>
      </c>
      <c r="AJ30" s="132">
        <f t="shared" ref="AJ30:AJ40" si="9">S30+U30+V30+W30+X30</f>
        <v>248408</v>
      </c>
      <c r="AK30" s="133">
        <f t="shared" si="7"/>
        <v>0</v>
      </c>
      <c r="AL30" s="132"/>
      <c r="AM30" s="133"/>
      <c r="AN30" s="246">
        <v>44841</v>
      </c>
      <c r="AO30" s="137"/>
      <c r="AP30" s="97"/>
      <c r="AQ30" s="97"/>
      <c r="AR30" s="97"/>
      <c r="AS30" s="97"/>
      <c r="AT30" s="97"/>
      <c r="AU30" s="97"/>
      <c r="AV30" s="97"/>
      <c r="AW30" s="97"/>
      <c r="AX30" s="97"/>
      <c r="AY30" s="97"/>
      <c r="AZ30" s="97"/>
      <c r="BA30" s="97"/>
      <c r="BB30" s="97"/>
      <c r="BC30" s="97"/>
      <c r="BD30" s="97"/>
      <c r="BE30" s="97"/>
    </row>
    <row r="31" s="115" customFormat="1" customHeight="1" spans="1:57">
      <c r="A31" s="115" t="s">
        <v>2856</v>
      </c>
      <c r="B31" s="111" t="s">
        <v>2857</v>
      </c>
      <c r="C31" s="554" t="s">
        <v>2858</v>
      </c>
      <c r="D31" s="121" t="s">
        <v>2859</v>
      </c>
      <c r="E31" s="266">
        <v>13703722958</v>
      </c>
      <c r="F31" s="267">
        <v>1</v>
      </c>
      <c r="G31" s="268">
        <v>1343</v>
      </c>
      <c r="H31" s="268">
        <v>15.32</v>
      </c>
      <c r="I31" s="274" t="s">
        <v>2657</v>
      </c>
      <c r="J31" s="113" t="s">
        <v>2860</v>
      </c>
      <c r="K31" s="266">
        <v>18.41</v>
      </c>
      <c r="L31" s="266" t="s">
        <v>2861</v>
      </c>
      <c r="M31" s="275" t="s">
        <v>2763</v>
      </c>
      <c r="N31" s="113" t="s">
        <v>66</v>
      </c>
      <c r="O31" s="113"/>
      <c r="P31" s="113"/>
      <c r="Q31" s="113">
        <v>48178.54</v>
      </c>
      <c r="R31" s="113">
        <v>738095</v>
      </c>
      <c r="S31" s="280">
        <v>448095</v>
      </c>
      <c r="T31" s="281"/>
      <c r="U31" s="280">
        <v>290000</v>
      </c>
      <c r="V31" s="280">
        <v>995</v>
      </c>
      <c r="W31" s="280">
        <v>550</v>
      </c>
      <c r="X31" s="280"/>
      <c r="Y31" s="113" t="s">
        <v>2669</v>
      </c>
      <c r="Z31" s="113" t="s">
        <v>48</v>
      </c>
      <c r="AA31" s="275">
        <v>44023</v>
      </c>
      <c r="AB31" s="113"/>
      <c r="AC31" s="113">
        <v>1249</v>
      </c>
      <c r="AD31" s="113"/>
      <c r="AE31" s="133"/>
      <c r="AG31" s="133"/>
      <c r="AH31" s="133"/>
      <c r="AI31" s="132">
        <f t="shared" si="8"/>
        <v>740889</v>
      </c>
      <c r="AJ31" s="132">
        <f t="shared" si="9"/>
        <v>739640</v>
      </c>
      <c r="AK31" s="129">
        <f t="shared" si="7"/>
        <v>1249</v>
      </c>
      <c r="AL31" s="132"/>
      <c r="AM31" s="133"/>
      <c r="AN31" s="246">
        <v>44841</v>
      </c>
      <c r="AO31" s="137"/>
      <c r="AP31" s="97"/>
      <c r="AQ31" s="97"/>
      <c r="AR31" s="97"/>
      <c r="AS31" s="97"/>
      <c r="AT31" s="97"/>
      <c r="AU31" s="97"/>
      <c r="AV31" s="97"/>
      <c r="AW31" s="97"/>
      <c r="AX31" s="97"/>
      <c r="AY31" s="97"/>
      <c r="AZ31" s="97"/>
      <c r="BA31" s="97"/>
      <c r="BB31" s="97"/>
      <c r="BC31" s="97"/>
      <c r="BD31" s="97"/>
      <c r="BE31" s="97"/>
    </row>
    <row r="32" s="115" customFormat="1" customHeight="1" spans="1:57">
      <c r="A32" s="115" t="s">
        <v>2862</v>
      </c>
      <c r="B32" s="111" t="s">
        <v>2863</v>
      </c>
      <c r="C32" s="111" t="s">
        <v>2864</v>
      </c>
      <c r="D32" s="121" t="s">
        <v>2865</v>
      </c>
      <c r="E32" s="266" t="s">
        <v>2866</v>
      </c>
      <c r="F32" s="267">
        <v>3</v>
      </c>
      <c r="G32" s="268">
        <v>3780</v>
      </c>
      <c r="H32" s="268">
        <v>15.99</v>
      </c>
      <c r="I32" s="274" t="s">
        <v>2657</v>
      </c>
      <c r="J32" s="113" t="s">
        <v>2867</v>
      </c>
      <c r="K32" s="266">
        <v>15.99</v>
      </c>
      <c r="L32" s="266" t="s">
        <v>2868</v>
      </c>
      <c r="M32" s="275" t="s">
        <v>2869</v>
      </c>
      <c r="N32" s="113" t="s">
        <v>56</v>
      </c>
      <c r="O32" s="113"/>
      <c r="P32" s="113"/>
      <c r="Q32" s="113">
        <v>30551.47</v>
      </c>
      <c r="R32" s="113">
        <v>488518</v>
      </c>
      <c r="S32" s="280">
        <v>488518</v>
      </c>
      <c r="T32" s="281">
        <v>0</v>
      </c>
      <c r="U32" s="280"/>
      <c r="V32" s="280">
        <v>1039</v>
      </c>
      <c r="W32" s="280">
        <v>550</v>
      </c>
      <c r="X32" s="280"/>
      <c r="Y32" s="113" t="s">
        <v>2669</v>
      </c>
      <c r="Z32" s="113" t="s">
        <v>48</v>
      </c>
      <c r="AA32" s="275">
        <v>44054</v>
      </c>
      <c r="AB32" s="113"/>
      <c r="AC32" s="113"/>
      <c r="AD32" s="113"/>
      <c r="AE32" s="133"/>
      <c r="AF32" s="115" t="s">
        <v>237</v>
      </c>
      <c r="AG32" s="133" t="s">
        <v>160</v>
      </c>
      <c r="AH32" s="133"/>
      <c r="AI32" s="132">
        <f t="shared" si="8"/>
        <v>490107</v>
      </c>
      <c r="AJ32" s="132">
        <f t="shared" si="9"/>
        <v>490107</v>
      </c>
      <c r="AK32" s="133">
        <f t="shared" si="7"/>
        <v>0</v>
      </c>
      <c r="AL32" s="132"/>
      <c r="AM32" s="133"/>
      <c r="AN32" s="246">
        <v>44841</v>
      </c>
      <c r="AO32" s="137"/>
      <c r="AP32" s="97"/>
      <c r="AQ32" s="97"/>
      <c r="AR32" s="97"/>
      <c r="AS32" s="97"/>
      <c r="AT32" s="97"/>
      <c r="AU32" s="97"/>
      <c r="AV32" s="97"/>
      <c r="AW32" s="97"/>
      <c r="AX32" s="97"/>
      <c r="AY32" s="97"/>
      <c r="AZ32" s="97"/>
      <c r="BA32" s="97"/>
      <c r="BB32" s="97"/>
      <c r="BC32" s="97"/>
      <c r="BD32" s="97"/>
      <c r="BE32" s="97"/>
    </row>
    <row r="33" s="115" customFormat="1" customHeight="1" spans="1:57">
      <c r="A33" s="115" t="s">
        <v>2870</v>
      </c>
      <c r="B33" s="111" t="s">
        <v>2871</v>
      </c>
      <c r="C33" s="554" t="s">
        <v>2872</v>
      </c>
      <c r="D33" s="121" t="s">
        <v>2873</v>
      </c>
      <c r="E33" s="266">
        <v>15867931888</v>
      </c>
      <c r="F33" s="267">
        <v>1</v>
      </c>
      <c r="G33" s="268">
        <v>1546</v>
      </c>
      <c r="H33" s="268">
        <v>32.54</v>
      </c>
      <c r="I33" s="274" t="s">
        <v>2657</v>
      </c>
      <c r="J33" s="113" t="s">
        <v>2874</v>
      </c>
      <c r="K33" s="266">
        <v>36.67</v>
      </c>
      <c r="L33" s="266" t="s">
        <v>2875</v>
      </c>
      <c r="M33" s="275" t="s">
        <v>2876</v>
      </c>
      <c r="N33" s="113" t="s">
        <v>56</v>
      </c>
      <c r="O33" s="113"/>
      <c r="P33" s="113"/>
      <c r="Q33" s="113">
        <v>46126.78</v>
      </c>
      <c r="R33" s="113">
        <v>1500965</v>
      </c>
      <c r="S33" s="280">
        <v>1500965</v>
      </c>
      <c r="T33" s="281">
        <v>0</v>
      </c>
      <c r="U33" s="280"/>
      <c r="V33" s="280">
        <v>2115</v>
      </c>
      <c r="W33" s="280">
        <v>550</v>
      </c>
      <c r="X33" s="280"/>
      <c r="Y33" s="113" t="s">
        <v>2669</v>
      </c>
      <c r="Z33" s="113" t="s">
        <v>48</v>
      </c>
      <c r="AA33" s="275">
        <v>44187</v>
      </c>
      <c r="AB33" s="113"/>
      <c r="AC33" s="113"/>
      <c r="AD33" s="113"/>
      <c r="AE33" s="133"/>
      <c r="AF33" s="115" t="s">
        <v>123</v>
      </c>
      <c r="AG33" s="133" t="s">
        <v>160</v>
      </c>
      <c r="AH33" s="133"/>
      <c r="AI33" s="132">
        <f t="shared" si="8"/>
        <v>1503630</v>
      </c>
      <c r="AJ33" s="132">
        <f t="shared" si="9"/>
        <v>1503630</v>
      </c>
      <c r="AK33" s="129">
        <f t="shared" si="7"/>
        <v>0</v>
      </c>
      <c r="AL33" s="132"/>
      <c r="AM33" s="133"/>
      <c r="AN33" s="246">
        <v>44841</v>
      </c>
      <c r="AO33" s="137"/>
      <c r="AP33" s="97"/>
      <c r="AQ33" s="97"/>
      <c r="AR33" s="97"/>
      <c r="AS33" s="97"/>
      <c r="AT33" s="97"/>
      <c r="AU33" s="97"/>
      <c r="AV33" s="97"/>
      <c r="AW33" s="97"/>
      <c r="AX33" s="97"/>
      <c r="AY33" s="97"/>
      <c r="AZ33" s="97"/>
      <c r="BA33" s="97"/>
      <c r="BB33" s="97"/>
      <c r="BC33" s="97"/>
      <c r="BD33" s="97"/>
      <c r="BE33" s="97"/>
    </row>
    <row r="34" s="115" customFormat="1" customHeight="1" spans="1:57">
      <c r="A34" s="115" t="s">
        <v>2877</v>
      </c>
      <c r="B34" s="111" t="s">
        <v>2878</v>
      </c>
      <c r="C34" s="111" t="s">
        <v>2879</v>
      </c>
      <c r="D34" s="121" t="s">
        <v>2880</v>
      </c>
      <c r="E34" s="266">
        <v>15993712310</v>
      </c>
      <c r="F34" s="267">
        <v>3</v>
      </c>
      <c r="G34" s="268">
        <v>392</v>
      </c>
      <c r="H34" s="268">
        <v>21.64</v>
      </c>
      <c r="I34" s="274" t="s">
        <v>2657</v>
      </c>
      <c r="J34" s="113" t="s">
        <v>2881</v>
      </c>
      <c r="K34" s="266">
        <v>21.57</v>
      </c>
      <c r="L34" s="266" t="s">
        <v>2882</v>
      </c>
      <c r="M34" s="275" t="s">
        <v>2883</v>
      </c>
      <c r="N34" s="113" t="s">
        <v>56</v>
      </c>
      <c r="O34" s="113"/>
      <c r="P34" s="113"/>
      <c r="Q34" s="113">
        <v>30625.08</v>
      </c>
      <c r="R34" s="113">
        <v>662727</v>
      </c>
      <c r="S34" s="280">
        <v>662727</v>
      </c>
      <c r="T34" s="281">
        <v>0</v>
      </c>
      <c r="U34" s="280"/>
      <c r="V34" s="280">
        <v>1406</v>
      </c>
      <c r="W34" s="280">
        <v>550</v>
      </c>
      <c r="X34" s="280"/>
      <c r="Y34" s="113" t="s">
        <v>2669</v>
      </c>
      <c r="Z34" s="113" t="s">
        <v>48</v>
      </c>
      <c r="AA34" s="275">
        <v>44079</v>
      </c>
      <c r="AB34" s="113" t="s">
        <v>2884</v>
      </c>
      <c r="AC34" s="113"/>
      <c r="AD34" s="113"/>
      <c r="AE34" s="133"/>
      <c r="AF34" s="115" t="s">
        <v>123</v>
      </c>
      <c r="AG34" s="133" t="s">
        <v>160</v>
      </c>
      <c r="AH34" s="133"/>
      <c r="AI34" s="132">
        <f t="shared" si="8"/>
        <v>664683</v>
      </c>
      <c r="AJ34" s="132">
        <f t="shared" si="9"/>
        <v>664683</v>
      </c>
      <c r="AK34" s="133">
        <f t="shared" si="7"/>
        <v>0</v>
      </c>
      <c r="AL34" s="132"/>
      <c r="AM34" s="133"/>
      <c r="AN34" s="246">
        <v>44841</v>
      </c>
      <c r="AO34" s="137"/>
      <c r="AP34" s="97"/>
      <c r="AQ34" s="97"/>
      <c r="AR34" s="97"/>
      <c r="AS34" s="97"/>
      <c r="AT34" s="97"/>
      <c r="AU34" s="97"/>
      <c r="AV34" s="97"/>
      <c r="AW34" s="97"/>
      <c r="AX34" s="97"/>
      <c r="AY34" s="97"/>
      <c r="AZ34" s="97"/>
      <c r="BA34" s="97"/>
      <c r="BB34" s="97"/>
      <c r="BC34" s="97"/>
      <c r="BD34" s="97"/>
      <c r="BE34" s="97"/>
    </row>
    <row r="35" s="115" customFormat="1" customHeight="1" spans="1:57">
      <c r="A35" s="115" t="s">
        <v>2885</v>
      </c>
      <c r="B35" s="111" t="s">
        <v>2886</v>
      </c>
      <c r="C35" s="554" t="s">
        <v>2887</v>
      </c>
      <c r="D35" s="121" t="s">
        <v>2888</v>
      </c>
      <c r="E35" s="266">
        <v>13323819165</v>
      </c>
      <c r="F35" s="267">
        <v>1</v>
      </c>
      <c r="G35" s="268">
        <v>1625</v>
      </c>
      <c r="H35" s="268">
        <v>26.65</v>
      </c>
      <c r="I35" s="274" t="s">
        <v>2657</v>
      </c>
      <c r="J35" s="113" t="s">
        <v>2889</v>
      </c>
      <c r="K35" s="266">
        <v>25</v>
      </c>
      <c r="L35" s="266" t="s">
        <v>2890</v>
      </c>
      <c r="M35" s="275" t="s">
        <v>2891</v>
      </c>
      <c r="N35" s="113" t="s">
        <v>66</v>
      </c>
      <c r="O35" s="113"/>
      <c r="P35" s="113"/>
      <c r="Q35" s="113">
        <v>47510.64</v>
      </c>
      <c r="R35" s="113">
        <v>1187766</v>
      </c>
      <c r="S35" s="280">
        <v>597766</v>
      </c>
      <c r="T35" s="281">
        <v>590000</v>
      </c>
      <c r="U35" s="280"/>
      <c r="V35" s="280"/>
      <c r="W35" s="280"/>
      <c r="X35" s="280"/>
      <c r="Y35" s="113"/>
      <c r="Z35" s="113"/>
      <c r="AA35" s="275"/>
      <c r="AB35" s="113"/>
      <c r="AC35" s="113"/>
      <c r="AD35" s="113"/>
      <c r="AE35" s="133"/>
      <c r="AG35" s="133"/>
      <c r="AH35" s="133"/>
      <c r="AI35" s="132">
        <f t="shared" si="8"/>
        <v>597766</v>
      </c>
      <c r="AJ35" s="132">
        <f t="shared" si="9"/>
        <v>597766</v>
      </c>
      <c r="AK35" s="133">
        <f t="shared" si="7"/>
        <v>0</v>
      </c>
      <c r="AL35" s="132"/>
      <c r="AM35" s="133"/>
      <c r="AN35" s="246">
        <v>44841</v>
      </c>
      <c r="AO35" s="137"/>
      <c r="AP35" s="97"/>
      <c r="AQ35" s="97"/>
      <c r="AR35" s="97"/>
      <c r="AS35" s="97"/>
      <c r="AT35" s="97"/>
      <c r="AU35" s="97"/>
      <c r="AV35" s="97"/>
      <c r="AW35" s="97"/>
      <c r="AX35" s="97"/>
      <c r="AY35" s="97"/>
      <c r="AZ35" s="97"/>
      <c r="BA35" s="97"/>
      <c r="BB35" s="97"/>
      <c r="BC35" s="97"/>
      <c r="BD35" s="97"/>
      <c r="BE35" s="97"/>
    </row>
    <row r="36" s="115" customFormat="1" customHeight="1" spans="1:57">
      <c r="A36" s="115" t="s">
        <v>2892</v>
      </c>
      <c r="B36" s="111" t="s">
        <v>2893</v>
      </c>
      <c r="C36" s="554" t="s">
        <v>2894</v>
      </c>
      <c r="D36" s="121" t="s">
        <v>2895</v>
      </c>
      <c r="E36" s="266">
        <v>13849029903</v>
      </c>
      <c r="F36" s="267">
        <v>4</v>
      </c>
      <c r="G36" s="268">
        <v>4201</v>
      </c>
      <c r="H36" s="268">
        <v>14.06</v>
      </c>
      <c r="I36" s="274" t="s">
        <v>2657</v>
      </c>
      <c r="J36" s="113" t="s">
        <v>2896</v>
      </c>
      <c r="K36" s="266">
        <v>11.84</v>
      </c>
      <c r="L36" s="266" t="s">
        <v>2691</v>
      </c>
      <c r="M36" s="275" t="s">
        <v>2897</v>
      </c>
      <c r="N36" s="113" t="s">
        <v>56</v>
      </c>
      <c r="O36" s="113"/>
      <c r="P36" s="113"/>
      <c r="Q36" s="113">
        <v>27434.29</v>
      </c>
      <c r="R36" s="113">
        <v>324822</v>
      </c>
      <c r="S36" s="280">
        <v>324822</v>
      </c>
      <c r="T36" s="281">
        <v>0</v>
      </c>
      <c r="U36" s="280"/>
      <c r="V36" s="280"/>
      <c r="W36" s="280"/>
      <c r="X36" s="280"/>
      <c r="Y36" s="113"/>
      <c r="Z36" s="113"/>
      <c r="AA36" s="275"/>
      <c r="AB36" s="113"/>
      <c r="AC36" s="113"/>
      <c r="AD36" s="113"/>
      <c r="AE36" s="133"/>
      <c r="AF36" s="115" t="s">
        <v>237</v>
      </c>
      <c r="AG36" s="133" t="s">
        <v>2898</v>
      </c>
      <c r="AH36" s="133"/>
      <c r="AI36" s="132">
        <f t="shared" si="8"/>
        <v>324822</v>
      </c>
      <c r="AJ36" s="132">
        <f t="shared" si="9"/>
        <v>324822</v>
      </c>
      <c r="AK36" s="133">
        <f t="shared" si="7"/>
        <v>0</v>
      </c>
      <c r="AL36" s="132"/>
      <c r="AM36" s="133"/>
      <c r="AN36" s="246">
        <v>44841</v>
      </c>
      <c r="AO36" s="137"/>
      <c r="AP36" s="97"/>
      <c r="AQ36" s="97"/>
      <c r="AR36" s="97"/>
      <c r="AS36" s="97"/>
      <c r="AT36" s="97"/>
      <c r="AU36" s="97"/>
      <c r="AV36" s="97"/>
      <c r="AW36" s="97"/>
      <c r="AX36" s="97"/>
      <c r="AY36" s="97"/>
      <c r="AZ36" s="97"/>
      <c r="BA36" s="97"/>
      <c r="BB36" s="97"/>
      <c r="BC36" s="97"/>
      <c r="BD36" s="97"/>
      <c r="BE36" s="97"/>
    </row>
    <row r="37" s="115" customFormat="1" customHeight="1" spans="1:57">
      <c r="A37" s="115" t="s">
        <v>2899</v>
      </c>
      <c r="B37" s="111" t="s">
        <v>2900</v>
      </c>
      <c r="C37" s="111" t="s">
        <v>2901</v>
      </c>
      <c r="D37" s="121" t="s">
        <v>2902</v>
      </c>
      <c r="E37" s="266">
        <v>16696133178</v>
      </c>
      <c r="F37" s="267">
        <v>3</v>
      </c>
      <c r="G37" s="268">
        <v>3849</v>
      </c>
      <c r="H37" s="268">
        <v>20.09</v>
      </c>
      <c r="I37" s="274" t="s">
        <v>2657</v>
      </c>
      <c r="J37" s="113" t="s">
        <v>2903</v>
      </c>
      <c r="K37" s="266">
        <v>18.04</v>
      </c>
      <c r="L37" s="266" t="s">
        <v>2904</v>
      </c>
      <c r="M37" s="275" t="s">
        <v>2905</v>
      </c>
      <c r="N37" s="113" t="s">
        <v>66</v>
      </c>
      <c r="O37" s="113"/>
      <c r="P37" s="113"/>
      <c r="Q37" s="113">
        <v>31596.62</v>
      </c>
      <c r="R37" s="113">
        <v>634776</v>
      </c>
      <c r="S37" s="280">
        <v>354776</v>
      </c>
      <c r="T37" s="281">
        <f>R37-S37</f>
        <v>280000</v>
      </c>
      <c r="U37" s="280"/>
      <c r="V37" s="280">
        <v>1305</v>
      </c>
      <c r="W37" s="280">
        <v>550</v>
      </c>
      <c r="X37" s="280"/>
      <c r="Y37" s="113" t="s">
        <v>2669</v>
      </c>
      <c r="Z37" s="113"/>
      <c r="AA37" s="275"/>
      <c r="AB37" s="113" t="s">
        <v>2906</v>
      </c>
      <c r="AC37" s="113"/>
      <c r="AD37" s="113"/>
      <c r="AE37" s="133"/>
      <c r="AG37" s="133"/>
      <c r="AH37" s="133"/>
      <c r="AI37" s="132">
        <f t="shared" si="8"/>
        <v>356631</v>
      </c>
      <c r="AJ37" s="132">
        <f t="shared" si="9"/>
        <v>356631</v>
      </c>
      <c r="AK37" s="133">
        <f t="shared" si="7"/>
        <v>0</v>
      </c>
      <c r="AL37" s="132"/>
      <c r="AM37" s="133"/>
      <c r="AN37" s="246">
        <v>44841</v>
      </c>
      <c r="AO37" s="137"/>
      <c r="AP37" s="97"/>
      <c r="AQ37" s="97"/>
      <c r="AR37" s="97"/>
      <c r="AS37" s="97"/>
      <c r="AT37" s="97"/>
      <c r="AU37" s="97"/>
      <c r="AV37" s="97"/>
      <c r="AW37" s="97"/>
      <c r="AX37" s="97"/>
      <c r="AY37" s="97"/>
      <c r="AZ37" s="97"/>
      <c r="BA37" s="97"/>
      <c r="BB37" s="97"/>
      <c r="BC37" s="97"/>
      <c r="BD37" s="97"/>
      <c r="BE37" s="97"/>
    </row>
    <row r="38" s="115" customFormat="1" customHeight="1" spans="1:57">
      <c r="A38" s="115" t="s">
        <v>2907</v>
      </c>
      <c r="B38" s="111" t="s">
        <v>2908</v>
      </c>
      <c r="C38" s="111" t="s">
        <v>2909</v>
      </c>
      <c r="D38" s="121" t="s">
        <v>2910</v>
      </c>
      <c r="E38" s="266" t="s">
        <v>2911</v>
      </c>
      <c r="F38" s="267">
        <v>4</v>
      </c>
      <c r="G38" s="268">
        <v>4429</v>
      </c>
      <c r="H38" s="268">
        <v>27.1</v>
      </c>
      <c r="I38" s="274" t="s">
        <v>2665</v>
      </c>
      <c r="J38" s="113" t="s">
        <v>2912</v>
      </c>
      <c r="K38" s="266">
        <v>29.6</v>
      </c>
      <c r="L38" s="266" t="s">
        <v>2913</v>
      </c>
      <c r="M38" s="275" t="s">
        <v>2914</v>
      </c>
      <c r="N38" s="113" t="s">
        <v>66</v>
      </c>
      <c r="O38" s="113"/>
      <c r="P38" s="113"/>
      <c r="Q38" s="113">
        <v>26629.32</v>
      </c>
      <c r="R38" s="113">
        <v>788228</v>
      </c>
      <c r="S38" s="280">
        <v>598228</v>
      </c>
      <c r="T38" s="281">
        <f>R38-S38</f>
        <v>190000</v>
      </c>
      <c r="U38" s="280"/>
      <c r="V38" s="280"/>
      <c r="W38" s="280"/>
      <c r="X38" s="280"/>
      <c r="Y38" s="113"/>
      <c r="Z38" s="113"/>
      <c r="AA38" s="275"/>
      <c r="AB38" s="113"/>
      <c r="AC38" s="113"/>
      <c r="AD38" s="113">
        <v>190000</v>
      </c>
      <c r="AE38" s="133"/>
      <c r="AF38" s="115" t="s">
        <v>123</v>
      </c>
      <c r="AG38" s="133" t="s">
        <v>160</v>
      </c>
      <c r="AH38" s="133"/>
      <c r="AI38" s="132">
        <f t="shared" si="8"/>
        <v>788228</v>
      </c>
      <c r="AJ38" s="132">
        <f t="shared" si="9"/>
        <v>598228</v>
      </c>
      <c r="AK38" s="133">
        <f t="shared" si="7"/>
        <v>190000</v>
      </c>
      <c r="AL38" s="132"/>
      <c r="AM38" s="133"/>
      <c r="AN38" s="246">
        <v>44841</v>
      </c>
      <c r="AO38" s="137"/>
      <c r="AP38" s="97"/>
      <c r="AQ38" s="97"/>
      <c r="AR38" s="97"/>
      <c r="AS38" s="97"/>
      <c r="AT38" s="97"/>
      <c r="AU38" s="97"/>
      <c r="AV38" s="97"/>
      <c r="AW38" s="97"/>
      <c r="AX38" s="97"/>
      <c r="AY38" s="97"/>
      <c r="AZ38" s="97"/>
      <c r="BA38" s="97"/>
      <c r="BB38" s="97"/>
      <c r="BC38" s="97"/>
      <c r="BD38" s="97"/>
      <c r="BE38" s="97"/>
    </row>
    <row r="39" s="115" customFormat="1" customHeight="1" spans="1:57">
      <c r="A39" s="115" t="s">
        <v>2915</v>
      </c>
      <c r="B39" s="111" t="s">
        <v>2916</v>
      </c>
      <c r="C39" s="554" t="s">
        <v>2917</v>
      </c>
      <c r="D39" s="121" t="s">
        <v>2918</v>
      </c>
      <c r="E39" s="266">
        <v>15927543791</v>
      </c>
      <c r="F39" s="267">
        <v>1</v>
      </c>
      <c r="G39" s="268">
        <v>1659</v>
      </c>
      <c r="H39" s="268">
        <v>20.25</v>
      </c>
      <c r="I39" s="274" t="s">
        <v>2657</v>
      </c>
      <c r="J39" s="113" t="s">
        <v>2919</v>
      </c>
      <c r="K39" s="266">
        <v>19.18</v>
      </c>
      <c r="L39" s="266" t="s">
        <v>2920</v>
      </c>
      <c r="M39" s="275" t="s">
        <v>2835</v>
      </c>
      <c r="N39" s="113" t="s">
        <v>66</v>
      </c>
      <c r="O39" s="113"/>
      <c r="P39" s="113"/>
      <c r="Q39" s="113">
        <v>45881.13</v>
      </c>
      <c r="R39" s="113">
        <v>929093</v>
      </c>
      <c r="S39" s="280">
        <v>469093</v>
      </c>
      <c r="T39" s="281" t="s">
        <v>47</v>
      </c>
      <c r="U39" s="280">
        <v>460000</v>
      </c>
      <c r="V39" s="280">
        <v>1316</v>
      </c>
      <c r="W39" s="280">
        <v>550</v>
      </c>
      <c r="X39" s="280"/>
      <c r="Y39" s="113" t="s">
        <v>2669</v>
      </c>
      <c r="Z39" s="113" t="s">
        <v>48</v>
      </c>
      <c r="AA39" s="275">
        <v>44059</v>
      </c>
      <c r="AB39" s="113"/>
      <c r="AC39" s="113">
        <v>1266</v>
      </c>
      <c r="AD39" s="113"/>
      <c r="AE39" s="133"/>
      <c r="AF39" s="115" t="s">
        <v>123</v>
      </c>
      <c r="AG39" s="133" t="s">
        <v>2921</v>
      </c>
      <c r="AH39" s="133"/>
      <c r="AI39" s="132">
        <f t="shared" si="8"/>
        <v>932225</v>
      </c>
      <c r="AJ39" s="132">
        <f t="shared" si="9"/>
        <v>930959</v>
      </c>
      <c r="AK39" s="133">
        <f t="shared" si="7"/>
        <v>1266</v>
      </c>
      <c r="AL39" s="132"/>
      <c r="AM39" s="133"/>
      <c r="AN39" s="246">
        <v>44841</v>
      </c>
      <c r="AO39" s="137"/>
      <c r="AP39" s="97"/>
      <c r="AQ39" s="97"/>
      <c r="AR39" s="97"/>
      <c r="AS39" s="97"/>
      <c r="AT39" s="97"/>
      <c r="AU39" s="97"/>
      <c r="AV39" s="97"/>
      <c r="AW39" s="97"/>
      <c r="AX39" s="97"/>
      <c r="AY39" s="97"/>
      <c r="AZ39" s="97"/>
      <c r="BA39" s="97"/>
      <c r="BB39" s="97"/>
      <c r="BC39" s="97"/>
      <c r="BD39" s="97"/>
      <c r="BE39" s="97"/>
    </row>
    <row r="40" s="115" customFormat="1" customHeight="1" spans="1:57">
      <c r="A40" s="115" t="s">
        <v>2922</v>
      </c>
      <c r="B40" s="111" t="s">
        <v>2923</v>
      </c>
      <c r="C40" s="554" t="s">
        <v>2924</v>
      </c>
      <c r="D40" s="121" t="s">
        <v>2925</v>
      </c>
      <c r="E40" s="266">
        <v>13783450222</v>
      </c>
      <c r="F40" s="267">
        <v>1</v>
      </c>
      <c r="G40" s="268">
        <v>1788</v>
      </c>
      <c r="H40" s="268">
        <v>15.32</v>
      </c>
      <c r="I40" s="274" t="s">
        <v>2657</v>
      </c>
      <c r="J40" s="113" t="s">
        <v>2926</v>
      </c>
      <c r="K40" s="266">
        <v>16.84</v>
      </c>
      <c r="L40" s="266" t="s">
        <v>2927</v>
      </c>
      <c r="M40" s="275" t="s">
        <v>2928</v>
      </c>
      <c r="N40" s="113" t="s">
        <v>66</v>
      </c>
      <c r="O40" s="113"/>
      <c r="P40" s="113"/>
      <c r="Q40" s="113">
        <v>47515.14</v>
      </c>
      <c r="R40" s="113">
        <v>727932</v>
      </c>
      <c r="S40" s="280">
        <v>407932</v>
      </c>
      <c r="T40" s="281"/>
      <c r="U40" s="280">
        <v>320000</v>
      </c>
      <c r="V40" s="280">
        <v>995</v>
      </c>
      <c r="W40" s="280">
        <v>550</v>
      </c>
      <c r="X40" s="280"/>
      <c r="Y40" s="113" t="s">
        <v>2669</v>
      </c>
      <c r="Z40" s="113" t="s">
        <v>48</v>
      </c>
      <c r="AA40" s="275">
        <v>44021</v>
      </c>
      <c r="AB40" s="113"/>
      <c r="AC40" s="113">
        <v>1252</v>
      </c>
      <c r="AD40" s="113"/>
      <c r="AE40" s="133"/>
      <c r="AG40" s="133"/>
      <c r="AH40" s="133"/>
      <c r="AI40" s="132">
        <f t="shared" si="8"/>
        <v>730729</v>
      </c>
      <c r="AJ40" s="132">
        <f t="shared" si="9"/>
        <v>729477</v>
      </c>
      <c r="AK40" s="133">
        <f t="shared" si="7"/>
        <v>1252</v>
      </c>
      <c r="AL40" s="132"/>
      <c r="AM40" s="133"/>
      <c r="AN40" s="246">
        <v>44841</v>
      </c>
      <c r="AO40" s="137"/>
      <c r="AP40" s="97"/>
      <c r="AQ40" s="97"/>
      <c r="AR40" s="97"/>
      <c r="AS40" s="97"/>
      <c r="AT40" s="97"/>
      <c r="AU40" s="97"/>
      <c r="AV40" s="97"/>
      <c r="AW40" s="97"/>
      <c r="AX40" s="97"/>
      <c r="AY40" s="97"/>
      <c r="AZ40" s="97"/>
      <c r="BA40" s="97"/>
      <c r="BB40" s="97"/>
      <c r="BC40" s="97"/>
      <c r="BD40" s="97"/>
      <c r="BE40" s="97"/>
    </row>
    <row r="41" s="115" customFormat="1" customHeight="1" spans="1:57">
      <c r="A41" s="115" t="s">
        <v>2929</v>
      </c>
      <c r="B41" s="111" t="s">
        <v>2930</v>
      </c>
      <c r="C41" s="554" t="s">
        <v>2931</v>
      </c>
      <c r="D41" s="121" t="s">
        <v>2932</v>
      </c>
      <c r="E41" s="266">
        <v>18703826992</v>
      </c>
      <c r="F41" s="267">
        <v>3</v>
      </c>
      <c r="G41" s="268">
        <v>3366</v>
      </c>
      <c r="H41" s="268">
        <v>17.87</v>
      </c>
      <c r="I41" s="274" t="s">
        <v>2657</v>
      </c>
      <c r="J41" s="113" t="s">
        <v>2933</v>
      </c>
      <c r="K41" s="266">
        <v>17.67</v>
      </c>
      <c r="L41" s="266">
        <v>43660</v>
      </c>
      <c r="M41" s="275">
        <v>44218</v>
      </c>
      <c r="N41" s="113" t="s">
        <v>66</v>
      </c>
      <c r="O41" s="113"/>
      <c r="P41" s="113"/>
      <c r="Q41" s="113">
        <v>31766.82</v>
      </c>
      <c r="R41" s="113">
        <v>567673</v>
      </c>
      <c r="S41" s="280">
        <v>287673</v>
      </c>
      <c r="T41" s="281">
        <v>280000</v>
      </c>
      <c r="U41" s="280"/>
      <c r="V41" s="280">
        <v>1161</v>
      </c>
      <c r="W41" s="280">
        <v>550</v>
      </c>
      <c r="X41" s="280"/>
      <c r="Y41" s="113"/>
      <c r="Z41" s="113"/>
      <c r="AA41" s="275"/>
      <c r="AB41" s="113" t="s">
        <v>2934</v>
      </c>
      <c r="AC41" s="113"/>
      <c r="AD41" s="113"/>
      <c r="AE41" s="133"/>
      <c r="AG41" s="133"/>
      <c r="AH41" s="133"/>
      <c r="AI41" s="132">
        <f t="shared" ref="AI41:AI46" si="10">S41+U41+V41+W41+X41+AC41+AD41+AE41</f>
        <v>289384</v>
      </c>
      <c r="AJ41" s="132">
        <f t="shared" ref="AJ41:AJ46" si="11">S41+U41+V41+W41+X41</f>
        <v>289384</v>
      </c>
      <c r="AK41" s="133">
        <f t="shared" si="7"/>
        <v>0</v>
      </c>
      <c r="AL41" s="132"/>
      <c r="AM41" s="133"/>
      <c r="AN41" s="246">
        <v>44841</v>
      </c>
      <c r="AO41" s="137"/>
      <c r="AP41" s="97"/>
      <c r="AQ41" s="97"/>
      <c r="AR41" s="97"/>
      <c r="AS41" s="97"/>
      <c r="AT41" s="97"/>
      <c r="AU41" s="97"/>
      <c r="AV41" s="97"/>
      <c r="AW41" s="97"/>
      <c r="AX41" s="97"/>
      <c r="AY41" s="97"/>
      <c r="AZ41" s="97"/>
      <c r="BA41" s="97"/>
      <c r="BB41" s="97"/>
      <c r="BC41" s="97"/>
      <c r="BD41" s="97"/>
      <c r="BE41" s="97"/>
    </row>
    <row r="42" s="115" customFormat="1" customHeight="1" spans="1:57">
      <c r="A42" s="115" t="s">
        <v>2935</v>
      </c>
      <c r="B42" s="111" t="s">
        <v>2936</v>
      </c>
      <c r="C42" s="554" t="s">
        <v>2937</v>
      </c>
      <c r="D42" s="121" t="s">
        <v>2938</v>
      </c>
      <c r="E42" s="266" t="s">
        <v>2939</v>
      </c>
      <c r="F42" s="267">
        <v>4</v>
      </c>
      <c r="G42" s="268">
        <v>438</v>
      </c>
      <c r="H42" s="268">
        <v>22</v>
      </c>
      <c r="I42" s="274" t="s">
        <v>2665</v>
      </c>
      <c r="J42" s="113" t="s">
        <v>2940</v>
      </c>
      <c r="K42" s="266">
        <v>25.73</v>
      </c>
      <c r="L42" s="266" t="s">
        <v>2711</v>
      </c>
      <c r="M42" s="275" t="s">
        <v>2941</v>
      </c>
      <c r="N42" s="113" t="s">
        <v>56</v>
      </c>
      <c r="O42" s="113"/>
      <c r="P42" s="113"/>
      <c r="Q42" s="113">
        <v>19693.63</v>
      </c>
      <c r="R42" s="113">
        <v>433260</v>
      </c>
      <c r="S42" s="280">
        <v>433260</v>
      </c>
      <c r="T42" s="281">
        <v>0</v>
      </c>
      <c r="U42" s="280"/>
      <c r="V42" s="280">
        <v>1430</v>
      </c>
      <c r="W42" s="280">
        <v>560</v>
      </c>
      <c r="X42" s="280">
        <v>71467</v>
      </c>
      <c r="Y42" s="113" t="s">
        <v>2669</v>
      </c>
      <c r="Z42" s="113" t="s">
        <v>48</v>
      </c>
      <c r="AA42" s="275">
        <v>44020</v>
      </c>
      <c r="AB42" s="113"/>
      <c r="AC42" s="113"/>
      <c r="AD42" s="113"/>
      <c r="AE42" s="133"/>
      <c r="AG42" s="133"/>
      <c r="AH42" s="133"/>
      <c r="AI42" s="132">
        <f t="shared" si="10"/>
        <v>506717</v>
      </c>
      <c r="AJ42" s="132">
        <f t="shared" si="11"/>
        <v>506717</v>
      </c>
      <c r="AK42" s="133">
        <f t="shared" si="7"/>
        <v>0</v>
      </c>
      <c r="AL42" s="132"/>
      <c r="AM42" s="133"/>
      <c r="AN42" s="246">
        <v>44841</v>
      </c>
      <c r="AO42" s="137"/>
      <c r="AP42" s="97"/>
      <c r="AQ42" s="97"/>
      <c r="AR42" s="97"/>
      <c r="AS42" s="97"/>
      <c r="AT42" s="97"/>
      <c r="AU42" s="97"/>
      <c r="AV42" s="97"/>
      <c r="AW42" s="97"/>
      <c r="AX42" s="97"/>
      <c r="AY42" s="97"/>
      <c r="AZ42" s="97"/>
      <c r="BA42" s="97"/>
      <c r="BB42" s="97"/>
      <c r="BC42" s="97"/>
      <c r="BD42" s="97"/>
      <c r="BE42" s="97"/>
    </row>
    <row r="43" s="115" customFormat="1" customHeight="1" spans="1:57">
      <c r="A43" s="115" t="s">
        <v>2942</v>
      </c>
      <c r="B43" s="111" t="s">
        <v>2943</v>
      </c>
      <c r="C43" s="111" t="s">
        <v>2944</v>
      </c>
      <c r="D43" s="121" t="s">
        <v>2945</v>
      </c>
      <c r="E43" s="266" t="s">
        <v>2946</v>
      </c>
      <c r="F43" s="267">
        <v>1</v>
      </c>
      <c r="G43" s="268">
        <v>1218</v>
      </c>
      <c r="H43" s="268">
        <v>19.93</v>
      </c>
      <c r="I43" s="274" t="s">
        <v>2665</v>
      </c>
      <c r="J43" s="113" t="s">
        <v>2947</v>
      </c>
      <c r="K43" s="266">
        <v>19.7</v>
      </c>
      <c r="L43" s="266" t="s">
        <v>2948</v>
      </c>
      <c r="M43" s="275" t="s">
        <v>2941</v>
      </c>
      <c r="N43" s="113" t="s">
        <v>56</v>
      </c>
      <c r="O43" s="113"/>
      <c r="P43" s="113"/>
      <c r="Q43" s="113">
        <v>41624.37</v>
      </c>
      <c r="R43" s="113">
        <v>829574</v>
      </c>
      <c r="S43" s="280">
        <v>829574</v>
      </c>
      <c r="T43" s="281">
        <v>0</v>
      </c>
      <c r="U43" s="280"/>
      <c r="V43" s="280">
        <v>1295</v>
      </c>
      <c r="W43" s="280">
        <v>550</v>
      </c>
      <c r="X43" s="280"/>
      <c r="Y43" s="113" t="s">
        <v>2669</v>
      </c>
      <c r="Z43" s="113" t="s">
        <v>48</v>
      </c>
      <c r="AA43" s="275">
        <v>44027</v>
      </c>
      <c r="AB43" s="113"/>
      <c r="AC43" s="113"/>
      <c r="AD43" s="113"/>
      <c r="AE43" s="133"/>
      <c r="AF43" s="115" t="s">
        <v>237</v>
      </c>
      <c r="AG43" s="133"/>
      <c r="AH43" s="133"/>
      <c r="AI43" s="132">
        <f t="shared" si="10"/>
        <v>831419</v>
      </c>
      <c r="AJ43" s="132">
        <f t="shared" si="11"/>
        <v>831419</v>
      </c>
      <c r="AK43" s="133">
        <f t="shared" si="7"/>
        <v>0</v>
      </c>
      <c r="AL43" s="132"/>
      <c r="AM43" s="133"/>
      <c r="AN43" s="246">
        <v>44841</v>
      </c>
      <c r="AO43" s="137"/>
      <c r="AP43" s="97"/>
      <c r="AQ43" s="97"/>
      <c r="AR43" s="97"/>
      <c r="AS43" s="97"/>
      <c r="AT43" s="97"/>
      <c r="AU43" s="97"/>
      <c r="AV43" s="97"/>
      <c r="AW43" s="97"/>
      <c r="AX43" s="97"/>
      <c r="AY43" s="97"/>
      <c r="AZ43" s="97"/>
      <c r="BA43" s="97"/>
      <c r="BB43" s="97"/>
      <c r="BC43" s="97"/>
      <c r="BD43" s="97"/>
      <c r="BE43" s="97"/>
    </row>
    <row r="44" s="115" customFormat="1" customHeight="1" spans="1:57">
      <c r="A44" s="115" t="s">
        <v>2949</v>
      </c>
      <c r="B44" s="111" t="s">
        <v>2950</v>
      </c>
      <c r="C44" s="554" t="s">
        <v>2951</v>
      </c>
      <c r="D44" s="121" t="s">
        <v>2952</v>
      </c>
      <c r="E44" s="266">
        <v>15003712968</v>
      </c>
      <c r="F44" s="267">
        <v>4</v>
      </c>
      <c r="G44" s="268">
        <v>4400</v>
      </c>
      <c r="H44" s="268">
        <v>11.2</v>
      </c>
      <c r="I44" s="274" t="s">
        <v>2657</v>
      </c>
      <c r="J44" s="113" t="s">
        <v>2953</v>
      </c>
      <c r="K44" s="266">
        <v>10.69</v>
      </c>
      <c r="L44" s="266" t="s">
        <v>2954</v>
      </c>
      <c r="M44" s="275" t="s">
        <v>2955</v>
      </c>
      <c r="N44" s="113" t="s">
        <v>66</v>
      </c>
      <c r="O44" s="113"/>
      <c r="P44" s="113"/>
      <c r="Q44" s="113">
        <v>27779.05</v>
      </c>
      <c r="R44" s="113">
        <v>296958</v>
      </c>
      <c r="S44" s="280">
        <v>156958</v>
      </c>
      <c r="T44" s="281">
        <v>140000</v>
      </c>
      <c r="U44" s="280"/>
      <c r="V44" s="280"/>
      <c r="W44" s="280"/>
      <c r="X44" s="280"/>
      <c r="Y44" s="113"/>
      <c r="Z44" s="113"/>
      <c r="AA44" s="275"/>
      <c r="AB44" s="113"/>
      <c r="AC44" s="113"/>
      <c r="AD44" s="113"/>
      <c r="AE44" s="133"/>
      <c r="AG44" s="133"/>
      <c r="AH44" s="133"/>
      <c r="AI44" s="132">
        <f t="shared" si="10"/>
        <v>156958</v>
      </c>
      <c r="AJ44" s="132">
        <f t="shared" si="11"/>
        <v>156958</v>
      </c>
      <c r="AK44" s="133">
        <f t="shared" si="7"/>
        <v>0</v>
      </c>
      <c r="AL44" s="132"/>
      <c r="AM44" s="133"/>
      <c r="AN44" s="246">
        <v>44841</v>
      </c>
      <c r="AO44" s="137"/>
      <c r="AP44" s="97"/>
      <c r="AQ44" s="97"/>
      <c r="AR44" s="97"/>
      <c r="AS44" s="97"/>
      <c r="AT44" s="97"/>
      <c r="AU44" s="97"/>
      <c r="AV44" s="97"/>
      <c r="AW44" s="97"/>
      <c r="AX44" s="97"/>
      <c r="AY44" s="97"/>
      <c r="AZ44" s="97"/>
      <c r="BA44" s="97"/>
      <c r="BB44" s="97"/>
      <c r="BC44" s="97"/>
      <c r="BD44" s="97"/>
      <c r="BE44" s="97"/>
    </row>
    <row r="45" s="115" customFormat="1" customHeight="1" spans="1:57">
      <c r="A45" s="115" t="s">
        <v>2956</v>
      </c>
      <c r="B45" s="111" t="s">
        <v>205</v>
      </c>
      <c r="C45" s="111" t="s">
        <v>2957</v>
      </c>
      <c r="D45" s="121" t="s">
        <v>2958</v>
      </c>
      <c r="E45" s="266">
        <v>13598800216</v>
      </c>
      <c r="F45" s="267">
        <v>3</v>
      </c>
      <c r="G45" s="268">
        <v>3250</v>
      </c>
      <c r="H45" s="268">
        <v>21.64</v>
      </c>
      <c r="I45" s="274" t="s">
        <v>2657</v>
      </c>
      <c r="J45" s="113" t="s">
        <v>2959</v>
      </c>
      <c r="K45" s="266">
        <v>21.25</v>
      </c>
      <c r="L45" s="266" t="s">
        <v>2960</v>
      </c>
      <c r="M45" s="275" t="s">
        <v>2961</v>
      </c>
      <c r="N45" s="113" t="s">
        <v>66</v>
      </c>
      <c r="O45" s="113"/>
      <c r="P45" s="113"/>
      <c r="Q45" s="113">
        <v>31468.09</v>
      </c>
      <c r="R45" s="113">
        <v>668697</v>
      </c>
      <c r="S45" s="280">
        <v>338697</v>
      </c>
      <c r="T45" s="281">
        <v>330000</v>
      </c>
      <c r="U45" s="280"/>
      <c r="V45" s="280"/>
      <c r="W45" s="280"/>
      <c r="X45" s="280"/>
      <c r="Y45" s="113"/>
      <c r="Z45" s="113"/>
      <c r="AA45" s="275"/>
      <c r="AB45" s="113"/>
      <c r="AC45" s="113"/>
      <c r="AD45" s="113"/>
      <c r="AE45" s="133"/>
      <c r="AF45" s="115" t="s">
        <v>237</v>
      </c>
      <c r="AG45" s="133" t="s">
        <v>2962</v>
      </c>
      <c r="AH45" s="133"/>
      <c r="AI45" s="132">
        <f t="shared" si="10"/>
        <v>338697</v>
      </c>
      <c r="AJ45" s="132">
        <f t="shared" si="11"/>
        <v>338697</v>
      </c>
      <c r="AK45" s="133">
        <f t="shared" si="7"/>
        <v>0</v>
      </c>
      <c r="AL45" s="132"/>
      <c r="AM45" s="133"/>
      <c r="AN45" s="246">
        <v>44841</v>
      </c>
      <c r="AO45" s="137"/>
      <c r="AP45" s="97"/>
      <c r="AQ45" s="97"/>
      <c r="AR45" s="97"/>
      <c r="AS45" s="97"/>
      <c r="AT45" s="97"/>
      <c r="AU45" s="97"/>
      <c r="AV45" s="97"/>
      <c r="AW45" s="97"/>
      <c r="AX45" s="97"/>
      <c r="AY45" s="97"/>
      <c r="AZ45" s="97"/>
      <c r="BA45" s="97"/>
      <c r="BB45" s="97"/>
      <c r="BC45" s="97"/>
      <c r="BD45" s="97"/>
      <c r="BE45" s="97"/>
    </row>
    <row r="46" s="115" customFormat="1" customHeight="1" spans="1:57">
      <c r="A46" s="115" t="s">
        <v>2963</v>
      </c>
      <c r="B46" s="111" t="s">
        <v>2964</v>
      </c>
      <c r="C46" s="111" t="s">
        <v>2965</v>
      </c>
      <c r="D46" s="121" t="s">
        <v>2966</v>
      </c>
      <c r="E46" s="266">
        <v>18737126925</v>
      </c>
      <c r="F46" s="267">
        <v>4</v>
      </c>
      <c r="G46" s="268">
        <v>4364</v>
      </c>
      <c r="H46" s="268">
        <v>10.02</v>
      </c>
      <c r="I46" s="274" t="s">
        <v>2657</v>
      </c>
      <c r="J46" s="113" t="s">
        <v>2967</v>
      </c>
      <c r="K46" s="266">
        <v>17.08</v>
      </c>
      <c r="L46" s="266" t="s">
        <v>2968</v>
      </c>
      <c r="M46" s="275" t="s">
        <v>2814</v>
      </c>
      <c r="N46" s="113" t="s">
        <v>56</v>
      </c>
      <c r="O46" s="113"/>
      <c r="P46" s="113"/>
      <c r="Q46" s="113">
        <v>27785.63</v>
      </c>
      <c r="R46" s="113">
        <v>278412</v>
      </c>
      <c r="S46" s="280">
        <v>278412</v>
      </c>
      <c r="T46" s="281">
        <v>0</v>
      </c>
      <c r="U46" s="280"/>
      <c r="V46" s="280">
        <v>651</v>
      </c>
      <c r="W46" s="280">
        <v>550</v>
      </c>
      <c r="X46" s="280"/>
      <c r="Y46" s="113" t="s">
        <v>2669</v>
      </c>
      <c r="Z46" s="113" t="s">
        <v>48</v>
      </c>
      <c r="AA46" s="275">
        <v>44022</v>
      </c>
      <c r="AB46" s="113"/>
      <c r="AC46" s="113"/>
      <c r="AD46" s="113"/>
      <c r="AE46" s="133"/>
      <c r="AG46" s="133"/>
      <c r="AH46" s="133"/>
      <c r="AI46" s="132">
        <f t="shared" si="10"/>
        <v>279613</v>
      </c>
      <c r="AJ46" s="132">
        <f t="shared" si="11"/>
        <v>279613</v>
      </c>
      <c r="AK46" s="133">
        <f t="shared" si="7"/>
        <v>0</v>
      </c>
      <c r="AL46" s="132"/>
      <c r="AM46" s="133"/>
      <c r="AN46" s="246">
        <v>44841</v>
      </c>
      <c r="AO46" s="137"/>
      <c r="AP46" s="97"/>
      <c r="AQ46" s="97"/>
      <c r="AR46" s="97"/>
      <c r="AS46" s="97"/>
      <c r="AT46" s="97"/>
      <c r="AU46" s="97"/>
      <c r="AV46" s="97"/>
      <c r="AW46" s="97"/>
      <c r="AX46" s="97"/>
      <c r="AY46" s="97"/>
      <c r="AZ46" s="97"/>
      <c r="BA46" s="97"/>
      <c r="BB46" s="97"/>
      <c r="BC46" s="97"/>
      <c r="BD46" s="97"/>
      <c r="BE46" s="97"/>
    </row>
    <row r="47" s="115" customFormat="1" customHeight="1" spans="1:57">
      <c r="A47" s="115" t="s">
        <v>2969</v>
      </c>
      <c r="B47" s="111" t="s">
        <v>2970</v>
      </c>
      <c r="C47" s="554" t="s">
        <v>2971</v>
      </c>
      <c r="D47" s="121" t="s">
        <v>2972</v>
      </c>
      <c r="E47" s="266">
        <v>15093078388</v>
      </c>
      <c r="F47" s="267">
        <v>4</v>
      </c>
      <c r="G47" s="268">
        <v>4452</v>
      </c>
      <c r="H47" s="268">
        <v>15.86</v>
      </c>
      <c r="I47" s="274" t="s">
        <v>2657</v>
      </c>
      <c r="J47" s="113" t="s">
        <v>2973</v>
      </c>
      <c r="K47" s="266">
        <v>11.84</v>
      </c>
      <c r="L47" s="266" t="s">
        <v>2974</v>
      </c>
      <c r="M47" s="275" t="s">
        <v>2975</v>
      </c>
      <c r="N47" s="113" t="s">
        <v>66</v>
      </c>
      <c r="O47" s="113"/>
      <c r="P47" s="113"/>
      <c r="Q47" s="113">
        <v>27153.21</v>
      </c>
      <c r="R47" s="113">
        <v>321494</v>
      </c>
      <c r="S47" s="280">
        <v>161494</v>
      </c>
      <c r="T47" s="281">
        <v>160000</v>
      </c>
      <c r="U47" s="280"/>
      <c r="V47" s="280"/>
      <c r="W47" s="280"/>
      <c r="X47" s="280"/>
      <c r="Y47" s="113"/>
      <c r="Z47" s="113"/>
      <c r="AA47" s="275"/>
      <c r="AB47" s="113" t="s">
        <v>2976</v>
      </c>
      <c r="AC47" s="113"/>
      <c r="AD47" s="113"/>
      <c r="AE47" s="133"/>
      <c r="AG47" s="133"/>
      <c r="AH47" s="133"/>
      <c r="AI47" s="132">
        <f t="shared" ref="AI47:AI52" si="12">S47+U47+V47+W47+X47+AC47+AD47+AE47</f>
        <v>161494</v>
      </c>
      <c r="AJ47" s="132">
        <f t="shared" ref="AJ47:AJ52" si="13">S47+U47+V47+W47+X47</f>
        <v>161494</v>
      </c>
      <c r="AK47" s="133">
        <f t="shared" si="7"/>
        <v>0</v>
      </c>
      <c r="AL47" s="132"/>
      <c r="AM47" s="133"/>
      <c r="AN47" s="246">
        <v>44841</v>
      </c>
      <c r="AO47" s="137"/>
      <c r="AP47" s="97"/>
      <c r="AQ47" s="97"/>
      <c r="AR47" s="97"/>
      <c r="AS47" s="97"/>
      <c r="AT47" s="97"/>
      <c r="AU47" s="97"/>
      <c r="AV47" s="97"/>
      <c r="AW47" s="97"/>
      <c r="AX47" s="97"/>
      <c r="AY47" s="97"/>
      <c r="AZ47" s="97"/>
      <c r="BA47" s="97"/>
      <c r="BB47" s="97"/>
      <c r="BC47" s="97"/>
      <c r="BD47" s="97"/>
      <c r="BE47" s="97"/>
    </row>
    <row r="48" s="115" customFormat="1" customHeight="1" spans="1:57">
      <c r="A48" s="115" t="s">
        <v>2977</v>
      </c>
      <c r="B48" s="111" t="s">
        <v>2978</v>
      </c>
      <c r="C48" s="111" t="s">
        <v>2979</v>
      </c>
      <c r="D48" s="121" t="s">
        <v>2980</v>
      </c>
      <c r="E48" s="266">
        <v>15039078388</v>
      </c>
      <c r="F48" s="267">
        <v>3</v>
      </c>
      <c r="G48" s="268">
        <v>3614</v>
      </c>
      <c r="H48" s="268">
        <v>17.44</v>
      </c>
      <c r="I48" s="274" t="s">
        <v>2657</v>
      </c>
      <c r="J48" s="113" t="s">
        <v>2981</v>
      </c>
      <c r="K48" s="266">
        <v>15.73</v>
      </c>
      <c r="L48" s="266" t="s">
        <v>2834</v>
      </c>
      <c r="M48" s="275" t="s">
        <v>2982</v>
      </c>
      <c r="N48" s="113" t="s">
        <v>66</v>
      </c>
      <c r="O48" s="113"/>
      <c r="P48" s="113"/>
      <c r="Q48" s="113">
        <v>32756.33</v>
      </c>
      <c r="R48" s="113">
        <v>515257</v>
      </c>
      <c r="S48" s="280">
        <v>265257</v>
      </c>
      <c r="T48" s="281">
        <v>250000</v>
      </c>
      <c r="U48" s="280"/>
      <c r="V48" s="280"/>
      <c r="W48" s="280"/>
      <c r="X48" s="280"/>
      <c r="Y48" s="113"/>
      <c r="Z48" s="113"/>
      <c r="AA48" s="275"/>
      <c r="AB48" s="113" t="s">
        <v>2983</v>
      </c>
      <c r="AC48" s="113"/>
      <c r="AD48" s="113"/>
      <c r="AE48" s="133"/>
      <c r="AG48" s="133"/>
      <c r="AH48" s="133"/>
      <c r="AI48" s="132">
        <f t="shared" si="12"/>
        <v>265257</v>
      </c>
      <c r="AJ48" s="132">
        <f t="shared" si="13"/>
        <v>265257</v>
      </c>
      <c r="AK48" s="133">
        <f t="shared" si="7"/>
        <v>0</v>
      </c>
      <c r="AL48" s="132"/>
      <c r="AM48" s="133"/>
      <c r="AN48" s="246">
        <v>44841</v>
      </c>
      <c r="AO48" s="137"/>
      <c r="AP48" s="97"/>
      <c r="AQ48" s="97"/>
      <c r="AR48" s="97"/>
      <c r="AS48" s="97"/>
      <c r="AT48" s="97"/>
      <c r="AU48" s="97"/>
      <c r="AV48" s="97"/>
      <c r="AW48" s="97"/>
      <c r="AX48" s="97"/>
      <c r="AY48" s="97"/>
      <c r="AZ48" s="97"/>
      <c r="BA48" s="97"/>
      <c r="BB48" s="97"/>
      <c r="BC48" s="97"/>
      <c r="BD48" s="97"/>
      <c r="BE48" s="97"/>
    </row>
    <row r="49" s="115" customFormat="1" customHeight="1" spans="1:57">
      <c r="A49" s="115" t="s">
        <v>2984</v>
      </c>
      <c r="B49" s="111" t="s">
        <v>2985</v>
      </c>
      <c r="C49" s="554" t="s">
        <v>2986</v>
      </c>
      <c r="D49" s="121" t="s">
        <v>2987</v>
      </c>
      <c r="E49" s="266">
        <v>15037133342</v>
      </c>
      <c r="F49" s="267">
        <v>1</v>
      </c>
      <c r="G49" s="268">
        <v>1791</v>
      </c>
      <c r="H49" s="268">
        <v>15.32</v>
      </c>
      <c r="I49" s="274" t="s">
        <v>2657</v>
      </c>
      <c r="J49" s="113" t="s">
        <v>2988</v>
      </c>
      <c r="K49" s="266">
        <v>17.33</v>
      </c>
      <c r="L49" s="266" t="s">
        <v>2975</v>
      </c>
      <c r="M49" s="275" t="s">
        <v>2989</v>
      </c>
      <c r="N49" s="113" t="s">
        <v>66</v>
      </c>
      <c r="O49" s="113"/>
      <c r="P49" s="113"/>
      <c r="Q49" s="113">
        <v>47316.79</v>
      </c>
      <c r="R49" s="113">
        <v>820000</v>
      </c>
      <c r="S49" s="280">
        <v>410000</v>
      </c>
      <c r="T49" s="281">
        <v>410000</v>
      </c>
      <c r="U49" s="280"/>
      <c r="V49" s="280"/>
      <c r="W49" s="280"/>
      <c r="X49" s="280"/>
      <c r="Y49" s="113"/>
      <c r="Z49" s="113"/>
      <c r="AA49" s="275"/>
      <c r="AB49" s="113"/>
      <c r="AC49" s="113"/>
      <c r="AD49" s="113"/>
      <c r="AE49" s="133"/>
      <c r="AF49" s="115" t="s">
        <v>237</v>
      </c>
      <c r="AG49" s="133" t="s">
        <v>160</v>
      </c>
      <c r="AH49" s="133"/>
      <c r="AI49" s="132">
        <f t="shared" si="12"/>
        <v>410000</v>
      </c>
      <c r="AJ49" s="132">
        <f t="shared" si="13"/>
        <v>410000</v>
      </c>
      <c r="AK49" s="133">
        <f t="shared" si="7"/>
        <v>0</v>
      </c>
      <c r="AL49" s="132"/>
      <c r="AM49" s="133"/>
      <c r="AN49" s="246">
        <v>44841</v>
      </c>
      <c r="AO49" s="137"/>
      <c r="AP49" s="97"/>
      <c r="AQ49" s="97"/>
      <c r="AR49" s="97"/>
      <c r="AS49" s="97"/>
      <c r="AT49" s="97"/>
      <c r="AU49" s="97"/>
      <c r="AV49" s="97"/>
      <c r="AW49" s="97"/>
      <c r="AX49" s="97"/>
      <c r="AY49" s="97"/>
      <c r="AZ49" s="97"/>
      <c r="BA49" s="97"/>
      <c r="BB49" s="97"/>
      <c r="BC49" s="97"/>
      <c r="BD49" s="97"/>
      <c r="BE49" s="97"/>
    </row>
    <row r="50" s="115" customFormat="1" customHeight="1" spans="1:57">
      <c r="A50" s="115" t="s">
        <v>2990</v>
      </c>
      <c r="B50" s="111" t="s">
        <v>2991</v>
      </c>
      <c r="C50" s="111" t="s">
        <v>2992</v>
      </c>
      <c r="D50" s="121" t="s">
        <v>2993</v>
      </c>
      <c r="E50" s="266">
        <v>18738193923</v>
      </c>
      <c r="F50" s="267">
        <v>3</v>
      </c>
      <c r="G50" s="268">
        <v>3235</v>
      </c>
      <c r="H50" s="268">
        <v>13.52</v>
      </c>
      <c r="I50" s="274" t="s">
        <v>2657</v>
      </c>
      <c r="J50" s="113" t="s">
        <v>2994</v>
      </c>
      <c r="K50" s="266">
        <v>17.29</v>
      </c>
      <c r="L50" s="266" t="s">
        <v>2954</v>
      </c>
      <c r="M50" s="275" t="s">
        <v>2995</v>
      </c>
      <c r="N50" s="113" t="s">
        <v>66</v>
      </c>
      <c r="O50" s="113"/>
      <c r="P50" s="113"/>
      <c r="Q50" s="113">
        <v>32388.66</v>
      </c>
      <c r="R50" s="113">
        <v>437895</v>
      </c>
      <c r="S50" s="280">
        <v>287895</v>
      </c>
      <c r="T50" s="281">
        <v>150000</v>
      </c>
      <c r="U50" s="280"/>
      <c r="V50" s="280">
        <v>878</v>
      </c>
      <c r="W50" s="280">
        <v>550</v>
      </c>
      <c r="X50" s="280"/>
      <c r="Y50" s="113"/>
      <c r="Z50" s="113"/>
      <c r="AA50" s="275"/>
      <c r="AB50" s="113"/>
      <c r="AC50" s="113"/>
      <c r="AD50" s="113"/>
      <c r="AE50" s="133"/>
      <c r="AG50" s="133"/>
      <c r="AH50" s="133"/>
      <c r="AI50" s="132">
        <f t="shared" si="12"/>
        <v>289323</v>
      </c>
      <c r="AJ50" s="132">
        <f t="shared" si="13"/>
        <v>289323</v>
      </c>
      <c r="AK50" s="133">
        <f t="shared" si="7"/>
        <v>0</v>
      </c>
      <c r="AL50" s="132"/>
      <c r="AM50" s="133"/>
      <c r="AN50" s="246">
        <v>44841</v>
      </c>
      <c r="AO50" s="137"/>
      <c r="AP50" s="97"/>
      <c r="AQ50" s="97"/>
      <c r="AR50" s="97"/>
      <c r="AS50" s="97"/>
      <c r="AT50" s="97"/>
      <c r="AU50" s="97"/>
      <c r="AV50" s="97"/>
      <c r="AW50" s="97"/>
      <c r="AX50" s="97"/>
      <c r="AY50" s="97"/>
      <c r="AZ50" s="97"/>
      <c r="BA50" s="97"/>
      <c r="BB50" s="97"/>
      <c r="BC50" s="97"/>
      <c r="BD50" s="97"/>
      <c r="BE50" s="97"/>
    </row>
    <row r="51" s="115" customFormat="1" customHeight="1" spans="1:57">
      <c r="A51" s="115" t="s">
        <v>2996</v>
      </c>
      <c r="B51" s="111" t="s">
        <v>2997</v>
      </c>
      <c r="C51" s="111" t="s">
        <v>2998</v>
      </c>
      <c r="D51" s="121" t="s">
        <v>2999</v>
      </c>
      <c r="E51" s="266">
        <v>15286811381</v>
      </c>
      <c r="F51" s="267">
        <v>3</v>
      </c>
      <c r="G51" s="268">
        <v>3740</v>
      </c>
      <c r="H51" s="268">
        <v>11</v>
      </c>
      <c r="I51" s="274" t="s">
        <v>2657</v>
      </c>
      <c r="J51" s="113" t="s">
        <v>3000</v>
      </c>
      <c r="K51" s="266">
        <v>8.32</v>
      </c>
      <c r="L51" s="266" t="s">
        <v>2746</v>
      </c>
      <c r="M51" s="275" t="s">
        <v>3001</v>
      </c>
      <c r="N51" s="113" t="s">
        <v>66</v>
      </c>
      <c r="O51" s="113"/>
      <c r="P51" s="113"/>
      <c r="Q51" s="113">
        <v>33173.8</v>
      </c>
      <c r="R51" s="113">
        <v>276006</v>
      </c>
      <c r="S51" s="280">
        <v>146006</v>
      </c>
      <c r="T51" s="281">
        <v>130000</v>
      </c>
      <c r="U51" s="280"/>
      <c r="V51" s="280"/>
      <c r="W51" s="280"/>
      <c r="X51" s="280"/>
      <c r="Y51" s="113"/>
      <c r="Z51" s="113"/>
      <c r="AA51" s="275"/>
      <c r="AB51" s="113" t="s">
        <v>3002</v>
      </c>
      <c r="AC51" s="113"/>
      <c r="AD51" s="113"/>
      <c r="AE51" s="133"/>
      <c r="AG51" s="133"/>
      <c r="AH51" s="133"/>
      <c r="AI51" s="132">
        <f t="shared" si="12"/>
        <v>146006</v>
      </c>
      <c r="AJ51" s="132">
        <f t="shared" si="13"/>
        <v>146006</v>
      </c>
      <c r="AK51" s="133">
        <f t="shared" si="7"/>
        <v>0</v>
      </c>
      <c r="AL51" s="132"/>
      <c r="AM51" s="133"/>
      <c r="AN51" s="246">
        <v>44841</v>
      </c>
      <c r="AO51" s="137"/>
      <c r="AP51" s="97"/>
      <c r="AQ51" s="97"/>
      <c r="AR51" s="97"/>
      <c r="AS51" s="97"/>
      <c r="AT51" s="97"/>
      <c r="AU51" s="97"/>
      <c r="AV51" s="97"/>
      <c r="AW51" s="97"/>
      <c r="AX51" s="97"/>
      <c r="AY51" s="97"/>
      <c r="AZ51" s="97"/>
      <c r="BA51" s="97"/>
      <c r="BB51" s="97"/>
      <c r="BC51" s="97"/>
      <c r="BD51" s="97"/>
      <c r="BE51" s="97"/>
    </row>
    <row r="52" s="115" customFormat="1" customHeight="1" spans="1:57">
      <c r="A52" s="115" t="s">
        <v>3003</v>
      </c>
      <c r="B52" s="111" t="s">
        <v>3004</v>
      </c>
      <c r="C52" s="554" t="s">
        <v>3005</v>
      </c>
      <c r="D52" s="121" t="s">
        <v>3006</v>
      </c>
      <c r="E52" s="266">
        <v>15837125592</v>
      </c>
      <c r="F52" s="267">
        <v>3</v>
      </c>
      <c r="G52" s="268">
        <v>3752</v>
      </c>
      <c r="H52" s="268">
        <v>12.36</v>
      </c>
      <c r="I52" s="274" t="s">
        <v>2657</v>
      </c>
      <c r="J52" s="113" t="s">
        <v>3007</v>
      </c>
      <c r="K52" s="266">
        <v>10.42</v>
      </c>
      <c r="L52" s="266" t="s">
        <v>3008</v>
      </c>
      <c r="M52" s="275" t="s">
        <v>3009</v>
      </c>
      <c r="N52" s="113" t="s">
        <v>66</v>
      </c>
      <c r="O52" s="113"/>
      <c r="P52" s="113"/>
      <c r="Q52" s="113">
        <v>33668.52</v>
      </c>
      <c r="R52" s="113">
        <v>350826</v>
      </c>
      <c r="S52" s="280">
        <v>180826</v>
      </c>
      <c r="T52" s="281">
        <v>170000</v>
      </c>
      <c r="U52" s="280"/>
      <c r="V52" s="280"/>
      <c r="W52" s="280"/>
      <c r="X52" s="280"/>
      <c r="Y52" s="113"/>
      <c r="Z52" s="113"/>
      <c r="AA52" s="275"/>
      <c r="AB52" s="113"/>
      <c r="AC52" s="113"/>
      <c r="AD52" s="113"/>
      <c r="AE52" s="133"/>
      <c r="AF52" s="115" t="s">
        <v>237</v>
      </c>
      <c r="AG52" s="133" t="s">
        <v>3010</v>
      </c>
      <c r="AH52" s="133"/>
      <c r="AI52" s="132">
        <f t="shared" si="12"/>
        <v>180826</v>
      </c>
      <c r="AJ52" s="132">
        <f t="shared" si="13"/>
        <v>180826</v>
      </c>
      <c r="AK52" s="133">
        <f t="shared" si="7"/>
        <v>0</v>
      </c>
      <c r="AL52" s="132"/>
      <c r="AM52" s="133"/>
      <c r="AN52" s="246">
        <v>44841</v>
      </c>
      <c r="AO52" s="137"/>
      <c r="AP52" s="97"/>
      <c r="AQ52" s="97"/>
      <c r="AR52" s="97"/>
      <c r="AS52" s="97"/>
      <c r="AT52" s="97"/>
      <c r="AU52" s="97"/>
      <c r="AV52" s="97"/>
      <c r="AW52" s="97"/>
      <c r="AX52" s="97"/>
      <c r="AY52" s="97"/>
      <c r="AZ52" s="97"/>
      <c r="BA52" s="97"/>
      <c r="BB52" s="97"/>
      <c r="BC52" s="97"/>
      <c r="BD52" s="97"/>
      <c r="BE52" s="97"/>
    </row>
    <row r="53" s="115" customFormat="1" customHeight="1" spans="1:57">
      <c r="A53" s="115" t="s">
        <v>3011</v>
      </c>
      <c r="B53" s="111" t="s">
        <v>3012</v>
      </c>
      <c r="C53" s="554" t="s">
        <v>3013</v>
      </c>
      <c r="D53" s="121" t="s">
        <v>3014</v>
      </c>
      <c r="E53" s="266">
        <v>15093109979</v>
      </c>
      <c r="F53" s="267">
        <v>1</v>
      </c>
      <c r="G53" s="268">
        <v>1159</v>
      </c>
      <c r="H53" s="268">
        <v>11.7</v>
      </c>
      <c r="I53" s="274" t="s">
        <v>2657</v>
      </c>
      <c r="J53" s="113" t="s">
        <v>3015</v>
      </c>
      <c r="K53" s="266">
        <v>14.07</v>
      </c>
      <c r="L53" s="266" t="s">
        <v>3016</v>
      </c>
      <c r="M53" s="275" t="s">
        <v>3017</v>
      </c>
      <c r="N53" s="113" t="s">
        <v>66</v>
      </c>
      <c r="O53" s="113"/>
      <c r="P53" s="113"/>
      <c r="Q53" s="113">
        <v>48212.72</v>
      </c>
      <c r="R53" s="113">
        <v>564089</v>
      </c>
      <c r="S53" s="280">
        <v>354089</v>
      </c>
      <c r="T53" s="281"/>
      <c r="U53" s="280">
        <v>210000</v>
      </c>
      <c r="V53" s="280">
        <v>760</v>
      </c>
      <c r="W53" s="280">
        <v>550</v>
      </c>
      <c r="X53" s="280"/>
      <c r="Y53" s="113" t="s">
        <v>2669</v>
      </c>
      <c r="Z53" s="113" t="s">
        <v>48</v>
      </c>
      <c r="AA53" s="275">
        <v>44022</v>
      </c>
      <c r="AB53" s="113"/>
      <c r="AC53" s="113">
        <v>1241.5</v>
      </c>
      <c r="AD53" s="113"/>
      <c r="AE53" s="133"/>
      <c r="AG53" s="133"/>
      <c r="AH53" s="133"/>
      <c r="AI53" s="132">
        <f t="shared" ref="AI53:AI65" si="14">S53+U53+V53+W53+X53+AC53+AD53+AE53</f>
        <v>566640.5</v>
      </c>
      <c r="AJ53" s="132">
        <f t="shared" ref="AJ53:AJ65" si="15">S53+U53+V53+W53+X53</f>
        <v>565399</v>
      </c>
      <c r="AK53" s="133">
        <f t="shared" si="7"/>
        <v>1241.5</v>
      </c>
      <c r="AL53" s="132"/>
      <c r="AM53" s="133"/>
      <c r="AN53" s="246">
        <v>44841</v>
      </c>
      <c r="AO53" s="137"/>
      <c r="AP53" s="97"/>
      <c r="AQ53" s="97"/>
      <c r="AR53" s="97"/>
      <c r="AS53" s="97"/>
      <c r="AT53" s="97"/>
      <c r="AU53" s="97"/>
      <c r="AV53" s="97"/>
      <c r="AW53" s="97"/>
      <c r="AX53" s="97"/>
      <c r="AY53" s="97"/>
      <c r="AZ53" s="97"/>
      <c r="BA53" s="97"/>
      <c r="BB53" s="97"/>
      <c r="BC53" s="97"/>
      <c r="BD53" s="97"/>
      <c r="BE53" s="97"/>
    </row>
    <row r="54" s="115" customFormat="1" customHeight="1" spans="1:57">
      <c r="A54" s="115" t="s">
        <v>3018</v>
      </c>
      <c r="B54" s="111" t="s">
        <v>3019</v>
      </c>
      <c r="C54" s="111" t="s">
        <v>3020</v>
      </c>
      <c r="D54" s="121" t="s">
        <v>3021</v>
      </c>
      <c r="E54" s="266">
        <v>13653903360</v>
      </c>
      <c r="F54" s="267">
        <v>1</v>
      </c>
      <c r="G54" s="268">
        <v>1547</v>
      </c>
      <c r="H54" s="268">
        <v>18.27</v>
      </c>
      <c r="I54" s="274" t="s">
        <v>2657</v>
      </c>
      <c r="J54" s="113" t="s">
        <v>3022</v>
      </c>
      <c r="K54" s="266">
        <v>19.18</v>
      </c>
      <c r="L54" s="266" t="s">
        <v>2691</v>
      </c>
      <c r="M54" s="275" t="s">
        <v>3023</v>
      </c>
      <c r="N54" s="113" t="s">
        <v>56</v>
      </c>
      <c r="O54" s="113"/>
      <c r="P54" s="113"/>
      <c r="Q54" s="113">
        <v>46923.31</v>
      </c>
      <c r="R54" s="113">
        <v>899989</v>
      </c>
      <c r="S54" s="280">
        <v>899989</v>
      </c>
      <c r="T54" s="281"/>
      <c r="U54" s="280"/>
      <c r="V54" s="280"/>
      <c r="W54" s="280"/>
      <c r="X54" s="280"/>
      <c r="Y54" s="113"/>
      <c r="Z54" s="113"/>
      <c r="AA54" s="275"/>
      <c r="AB54" s="113"/>
      <c r="AC54" s="113"/>
      <c r="AD54" s="113"/>
      <c r="AE54" s="133"/>
      <c r="AG54" s="133"/>
      <c r="AH54" s="133"/>
      <c r="AI54" s="132">
        <f t="shared" si="14"/>
        <v>899989</v>
      </c>
      <c r="AJ54" s="132">
        <f t="shared" si="15"/>
        <v>899989</v>
      </c>
      <c r="AK54" s="133">
        <f t="shared" si="7"/>
        <v>0</v>
      </c>
      <c r="AL54" s="132"/>
      <c r="AM54" s="133"/>
      <c r="AN54" s="246">
        <v>44841</v>
      </c>
      <c r="AO54" s="137"/>
      <c r="AP54" s="97"/>
      <c r="AQ54" s="97"/>
      <c r="AR54" s="97"/>
      <c r="AS54" s="97"/>
      <c r="AT54" s="97"/>
      <c r="AU54" s="97"/>
      <c r="AV54" s="97"/>
      <c r="AW54" s="97"/>
      <c r="AX54" s="97"/>
      <c r="AY54" s="97"/>
      <c r="AZ54" s="97"/>
      <c r="BA54" s="97"/>
      <c r="BB54" s="97"/>
      <c r="BC54" s="97"/>
      <c r="BD54" s="97"/>
      <c r="BE54" s="97"/>
    </row>
    <row r="55" s="115" customFormat="1" customHeight="1" spans="1:57">
      <c r="A55" s="115" t="s">
        <v>3024</v>
      </c>
      <c r="B55" s="111" t="s">
        <v>3025</v>
      </c>
      <c r="C55" s="554" t="s">
        <v>3026</v>
      </c>
      <c r="D55" s="121" t="s">
        <v>3027</v>
      </c>
      <c r="E55" s="266">
        <v>13838550007</v>
      </c>
      <c r="F55" s="267">
        <v>1</v>
      </c>
      <c r="G55" s="268">
        <v>1548</v>
      </c>
      <c r="H55" s="268">
        <v>16.58</v>
      </c>
      <c r="I55" s="274" t="s">
        <v>2657</v>
      </c>
      <c r="J55" s="113" t="s">
        <v>3028</v>
      </c>
      <c r="K55" s="266">
        <v>16.78</v>
      </c>
      <c r="L55" s="266" t="s">
        <v>2691</v>
      </c>
      <c r="M55" s="275" t="s">
        <v>3029</v>
      </c>
      <c r="N55" s="113" t="s">
        <v>66</v>
      </c>
      <c r="O55" s="113"/>
      <c r="P55" s="113"/>
      <c r="Q55" s="113">
        <v>48271.75</v>
      </c>
      <c r="R55" s="113">
        <v>810000</v>
      </c>
      <c r="S55" s="280">
        <v>410000</v>
      </c>
      <c r="T55" s="281">
        <v>400000</v>
      </c>
      <c r="U55" s="280"/>
      <c r="V55" s="280"/>
      <c r="W55" s="280"/>
      <c r="X55" s="280"/>
      <c r="Y55" s="113"/>
      <c r="Z55" s="113"/>
      <c r="AA55" s="275"/>
      <c r="AB55" s="113"/>
      <c r="AC55" s="113"/>
      <c r="AD55" s="113"/>
      <c r="AE55" s="133"/>
      <c r="AG55" s="133"/>
      <c r="AH55" s="133"/>
      <c r="AI55" s="132">
        <f t="shared" si="14"/>
        <v>410000</v>
      </c>
      <c r="AJ55" s="132">
        <f t="shared" si="15"/>
        <v>410000</v>
      </c>
      <c r="AK55" s="133">
        <f t="shared" si="7"/>
        <v>0</v>
      </c>
      <c r="AL55" s="132"/>
      <c r="AM55" s="133"/>
      <c r="AN55" s="246">
        <v>44841</v>
      </c>
      <c r="AO55" s="137"/>
      <c r="AP55" s="97"/>
      <c r="AQ55" s="97"/>
      <c r="AR55" s="97"/>
      <c r="AS55" s="97"/>
      <c r="AT55" s="97"/>
      <c r="AU55" s="97"/>
      <c r="AV55" s="97"/>
      <c r="AW55" s="97"/>
      <c r="AX55" s="97"/>
      <c r="AY55" s="97"/>
      <c r="AZ55" s="97"/>
      <c r="BA55" s="97"/>
      <c r="BB55" s="97"/>
      <c r="BC55" s="97"/>
      <c r="BD55" s="97"/>
      <c r="BE55" s="97"/>
    </row>
    <row r="56" s="115" customFormat="1" customHeight="1" spans="1:57">
      <c r="A56" s="115" t="s">
        <v>3030</v>
      </c>
      <c r="B56" s="111" t="s">
        <v>3031</v>
      </c>
      <c r="C56" s="554" t="s">
        <v>3032</v>
      </c>
      <c r="D56" s="121" t="s">
        <v>3033</v>
      </c>
      <c r="E56" s="266">
        <v>13526780018</v>
      </c>
      <c r="F56" s="267">
        <v>4</v>
      </c>
      <c r="G56" s="268">
        <v>431</v>
      </c>
      <c r="H56" s="268">
        <v>20.36</v>
      </c>
      <c r="I56" s="274" t="s">
        <v>2657</v>
      </c>
      <c r="J56" s="113" t="s">
        <v>3034</v>
      </c>
      <c r="K56" s="266">
        <v>18.48</v>
      </c>
      <c r="L56" s="266" t="s">
        <v>3035</v>
      </c>
      <c r="M56" s="275" t="s">
        <v>3023</v>
      </c>
      <c r="N56" s="113" t="s">
        <v>66</v>
      </c>
      <c r="O56" s="113"/>
      <c r="P56" s="113"/>
      <c r="Q56" s="113">
        <v>26705.03</v>
      </c>
      <c r="R56" s="113">
        <v>493509</v>
      </c>
      <c r="S56" s="280">
        <v>253509</v>
      </c>
      <c r="T56" s="281">
        <v>240000</v>
      </c>
      <c r="U56" s="280"/>
      <c r="V56" s="280"/>
      <c r="W56" s="280"/>
      <c r="X56" s="280"/>
      <c r="Y56" s="113"/>
      <c r="Z56" s="113"/>
      <c r="AA56" s="275"/>
      <c r="AB56" s="113" t="s">
        <v>3036</v>
      </c>
      <c r="AC56" s="113"/>
      <c r="AD56" s="113"/>
      <c r="AE56" s="133"/>
      <c r="AG56" s="133"/>
      <c r="AH56" s="133"/>
      <c r="AI56" s="132">
        <f t="shared" si="14"/>
        <v>253509</v>
      </c>
      <c r="AJ56" s="132">
        <f t="shared" si="15"/>
        <v>253509</v>
      </c>
      <c r="AK56" s="133">
        <f t="shared" si="7"/>
        <v>0</v>
      </c>
      <c r="AL56" s="132"/>
      <c r="AM56" s="133"/>
      <c r="AN56" s="246">
        <v>44841</v>
      </c>
      <c r="AO56" s="137"/>
      <c r="AP56" s="97"/>
      <c r="AQ56" s="97"/>
      <c r="AR56" s="97"/>
      <c r="AS56" s="97"/>
      <c r="AT56" s="97"/>
      <c r="AU56" s="97"/>
      <c r="AV56" s="97"/>
      <c r="AW56" s="97"/>
      <c r="AX56" s="97"/>
      <c r="AY56" s="97"/>
      <c r="AZ56" s="97"/>
      <c r="BA56" s="97"/>
      <c r="BB56" s="97"/>
      <c r="BC56" s="97"/>
      <c r="BD56" s="97"/>
      <c r="BE56" s="97"/>
    </row>
    <row r="57" s="115" customFormat="1" customHeight="1" spans="1:57">
      <c r="A57" s="115" t="s">
        <v>3037</v>
      </c>
      <c r="B57" s="111" t="s">
        <v>3038</v>
      </c>
      <c r="C57" s="554" t="s">
        <v>3039</v>
      </c>
      <c r="D57" s="121" t="s">
        <v>3040</v>
      </c>
      <c r="E57" s="266">
        <v>13525076912</v>
      </c>
      <c r="F57" s="267">
        <v>1</v>
      </c>
      <c r="G57" s="268">
        <v>1775</v>
      </c>
      <c r="H57" s="268">
        <v>15.32</v>
      </c>
      <c r="I57" s="274" t="s">
        <v>2657</v>
      </c>
      <c r="J57" s="113" t="s">
        <v>3041</v>
      </c>
      <c r="K57" s="266">
        <v>16.01</v>
      </c>
      <c r="L57" s="266" t="s">
        <v>3042</v>
      </c>
      <c r="M57" s="275" t="s">
        <v>3042</v>
      </c>
      <c r="N57" s="113" t="s">
        <v>66</v>
      </c>
      <c r="O57" s="113"/>
      <c r="P57" s="113"/>
      <c r="Q57" s="113">
        <v>46582.07</v>
      </c>
      <c r="R57" s="113">
        <v>745779</v>
      </c>
      <c r="S57" s="280">
        <v>375779</v>
      </c>
      <c r="T57" s="281">
        <v>370000</v>
      </c>
      <c r="U57" s="280"/>
      <c r="V57" s="280"/>
      <c r="W57" s="280"/>
      <c r="X57" s="280"/>
      <c r="Y57" s="113"/>
      <c r="Z57" s="113"/>
      <c r="AA57" s="275"/>
      <c r="AB57" s="113"/>
      <c r="AC57" s="113"/>
      <c r="AD57" s="113"/>
      <c r="AE57" s="133"/>
      <c r="AF57" s="115" t="s">
        <v>237</v>
      </c>
      <c r="AG57" s="133"/>
      <c r="AH57" s="133"/>
      <c r="AI57" s="132">
        <f t="shared" si="14"/>
        <v>375779</v>
      </c>
      <c r="AJ57" s="132">
        <f t="shared" si="15"/>
        <v>375779</v>
      </c>
      <c r="AK57" s="133">
        <f t="shared" si="7"/>
        <v>0</v>
      </c>
      <c r="AL57" s="132"/>
      <c r="AM57" s="133"/>
      <c r="AN57" s="246">
        <v>44841</v>
      </c>
      <c r="AO57" s="137"/>
      <c r="AP57" s="97"/>
      <c r="AQ57" s="97"/>
      <c r="AR57" s="97"/>
      <c r="AS57" s="97"/>
      <c r="AT57" s="97"/>
      <c r="AU57" s="97"/>
      <c r="AV57" s="97"/>
      <c r="AW57" s="97"/>
      <c r="AX57" s="97"/>
      <c r="AY57" s="97"/>
      <c r="AZ57" s="97"/>
      <c r="BA57" s="97"/>
      <c r="BB57" s="97"/>
      <c r="BC57" s="97"/>
      <c r="BD57" s="97"/>
      <c r="BE57" s="97"/>
    </row>
    <row r="58" s="115" customFormat="1" customHeight="1" spans="1:57">
      <c r="A58" s="115" t="s">
        <v>3043</v>
      </c>
      <c r="B58" s="111" t="s">
        <v>3044</v>
      </c>
      <c r="C58" s="111" t="s">
        <v>3045</v>
      </c>
      <c r="D58" s="121" t="s">
        <v>3046</v>
      </c>
      <c r="E58" s="266">
        <v>15516952706</v>
      </c>
      <c r="F58" s="267">
        <v>3</v>
      </c>
      <c r="G58" s="268">
        <v>3328</v>
      </c>
      <c r="H58" s="268">
        <v>13.81</v>
      </c>
      <c r="I58" s="274" t="s">
        <v>2657</v>
      </c>
      <c r="J58" s="113" t="s">
        <v>3047</v>
      </c>
      <c r="K58" s="266">
        <v>14.71</v>
      </c>
      <c r="L58" s="266" t="s">
        <v>3048</v>
      </c>
      <c r="M58" s="275" t="s">
        <v>3049</v>
      </c>
      <c r="N58" s="113" t="s">
        <v>66</v>
      </c>
      <c r="O58" s="113"/>
      <c r="P58" s="113"/>
      <c r="Q58" s="113">
        <v>32758.4</v>
      </c>
      <c r="R58" s="113">
        <v>481876</v>
      </c>
      <c r="S58" s="280">
        <v>241876</v>
      </c>
      <c r="T58" s="281">
        <v>240000</v>
      </c>
      <c r="U58" s="280"/>
      <c r="V58" s="280"/>
      <c r="W58" s="280"/>
      <c r="X58" s="280"/>
      <c r="Y58" s="113"/>
      <c r="Z58" s="113"/>
      <c r="AA58" s="275"/>
      <c r="AB58" s="113"/>
      <c r="AC58" s="113"/>
      <c r="AD58" s="113"/>
      <c r="AE58" s="133"/>
      <c r="AG58" s="133"/>
      <c r="AH58" s="133"/>
      <c r="AI58" s="132">
        <f t="shared" si="14"/>
        <v>241876</v>
      </c>
      <c r="AJ58" s="132">
        <f t="shared" si="15"/>
        <v>241876</v>
      </c>
      <c r="AK58" s="133">
        <f t="shared" si="7"/>
        <v>0</v>
      </c>
      <c r="AL58" s="132"/>
      <c r="AM58" s="133"/>
      <c r="AN58" s="246">
        <v>44841</v>
      </c>
      <c r="AO58" s="137"/>
      <c r="AP58" s="97"/>
      <c r="AQ58" s="97"/>
      <c r="AR58" s="97"/>
      <c r="AS58" s="97"/>
      <c r="AT58" s="97"/>
      <c r="AU58" s="97"/>
      <c r="AV58" s="97"/>
      <c r="AW58" s="97"/>
      <c r="AX58" s="97"/>
      <c r="AY58" s="97"/>
      <c r="AZ58" s="97"/>
      <c r="BA58" s="97"/>
      <c r="BB58" s="97"/>
      <c r="BC58" s="97"/>
      <c r="BD58" s="97"/>
      <c r="BE58" s="97"/>
    </row>
    <row r="59" s="115" customFormat="1" customHeight="1" spans="1:57">
      <c r="A59" s="115" t="s">
        <v>3050</v>
      </c>
      <c r="B59" s="111" t="s">
        <v>3051</v>
      </c>
      <c r="C59" s="554" t="s">
        <v>3052</v>
      </c>
      <c r="D59" s="121" t="s">
        <v>3053</v>
      </c>
      <c r="E59" s="266">
        <v>13525076912</v>
      </c>
      <c r="F59" s="267">
        <v>1</v>
      </c>
      <c r="G59" s="268">
        <v>1774</v>
      </c>
      <c r="H59" s="268">
        <v>15.32</v>
      </c>
      <c r="I59" s="274" t="s">
        <v>2657</v>
      </c>
      <c r="J59" s="113" t="s">
        <v>3054</v>
      </c>
      <c r="K59" s="266">
        <v>16.01</v>
      </c>
      <c r="L59" s="266" t="s">
        <v>3042</v>
      </c>
      <c r="M59" s="275" t="s">
        <v>3055</v>
      </c>
      <c r="N59" s="113" t="s">
        <v>66</v>
      </c>
      <c r="O59" s="113"/>
      <c r="P59" s="113"/>
      <c r="Q59" s="113">
        <v>46582.07</v>
      </c>
      <c r="R59" s="113">
        <v>745779</v>
      </c>
      <c r="S59" s="280">
        <v>375779</v>
      </c>
      <c r="T59" s="281">
        <v>370000</v>
      </c>
      <c r="U59" s="280"/>
      <c r="V59" s="280"/>
      <c r="W59" s="280"/>
      <c r="X59" s="280"/>
      <c r="Y59" s="113"/>
      <c r="Z59" s="113"/>
      <c r="AA59" s="275"/>
      <c r="AB59" s="113"/>
      <c r="AC59" s="113"/>
      <c r="AD59" s="113"/>
      <c r="AE59" s="133"/>
      <c r="AF59" s="115" t="s">
        <v>237</v>
      </c>
      <c r="AG59" s="133"/>
      <c r="AH59" s="133"/>
      <c r="AI59" s="132">
        <f t="shared" si="14"/>
        <v>375779</v>
      </c>
      <c r="AJ59" s="132">
        <f t="shared" si="15"/>
        <v>375779</v>
      </c>
      <c r="AK59" s="133">
        <f t="shared" si="7"/>
        <v>0</v>
      </c>
      <c r="AL59" s="132"/>
      <c r="AM59" s="133"/>
      <c r="AN59" s="246">
        <v>44841</v>
      </c>
      <c r="AO59" s="137"/>
      <c r="AP59" s="97"/>
      <c r="AQ59" s="97"/>
      <c r="AR59" s="97"/>
      <c r="AS59" s="97"/>
      <c r="AT59" s="97"/>
      <c r="AU59" s="97"/>
      <c r="AV59" s="97"/>
      <c r="AW59" s="97"/>
      <c r="AX59" s="97"/>
      <c r="AY59" s="97"/>
      <c r="AZ59" s="97"/>
      <c r="BA59" s="97"/>
      <c r="BB59" s="97"/>
      <c r="BC59" s="97"/>
      <c r="BD59" s="97"/>
      <c r="BE59" s="97"/>
    </row>
    <row r="60" s="115" customFormat="1" customHeight="1" spans="1:57">
      <c r="A60" s="115" t="s">
        <v>3056</v>
      </c>
      <c r="B60" s="111" t="s">
        <v>1564</v>
      </c>
      <c r="C60" s="554" t="s">
        <v>3057</v>
      </c>
      <c r="D60" s="121" t="s">
        <v>3058</v>
      </c>
      <c r="E60" s="266">
        <v>15903732018</v>
      </c>
      <c r="F60" s="267">
        <v>4</v>
      </c>
      <c r="G60" s="268">
        <v>4139</v>
      </c>
      <c r="H60" s="268">
        <v>25.21</v>
      </c>
      <c r="I60" s="274" t="s">
        <v>2657</v>
      </c>
      <c r="J60" s="113" t="s">
        <v>3059</v>
      </c>
      <c r="K60" s="266">
        <v>29.62</v>
      </c>
      <c r="L60" s="266" t="s">
        <v>3060</v>
      </c>
      <c r="M60" s="275" t="s">
        <v>3061</v>
      </c>
      <c r="N60" s="113" t="s">
        <v>66</v>
      </c>
      <c r="O60" s="113"/>
      <c r="P60" s="113"/>
      <c r="Q60" s="113">
        <v>26176.67</v>
      </c>
      <c r="R60" s="113">
        <v>775353</v>
      </c>
      <c r="S60" s="280">
        <v>625353</v>
      </c>
      <c r="T60" s="281">
        <v>150000</v>
      </c>
      <c r="U60" s="280"/>
      <c r="V60" s="280"/>
      <c r="W60" s="280"/>
      <c r="X60" s="280"/>
      <c r="Y60" s="113"/>
      <c r="Z60" s="113"/>
      <c r="AA60" s="275"/>
      <c r="AB60" s="113"/>
      <c r="AC60" s="113"/>
      <c r="AD60" s="113"/>
      <c r="AE60" s="133"/>
      <c r="AG60" s="133"/>
      <c r="AH60" s="133"/>
      <c r="AI60" s="132">
        <f t="shared" si="14"/>
        <v>625353</v>
      </c>
      <c r="AJ60" s="132">
        <f t="shared" si="15"/>
        <v>625353</v>
      </c>
      <c r="AK60" s="133">
        <f t="shared" si="7"/>
        <v>0</v>
      </c>
      <c r="AL60" s="132"/>
      <c r="AM60" s="133"/>
      <c r="AN60" s="246">
        <v>44841</v>
      </c>
      <c r="AO60" s="137"/>
      <c r="AP60" s="97"/>
      <c r="AQ60" s="97"/>
      <c r="AR60" s="97"/>
      <c r="AS60" s="97"/>
      <c r="AT60" s="97"/>
      <c r="AU60" s="97"/>
      <c r="AV60" s="97"/>
      <c r="AW60" s="97"/>
      <c r="AX60" s="97"/>
      <c r="AY60" s="97"/>
      <c r="AZ60" s="97"/>
      <c r="BA60" s="97"/>
      <c r="BB60" s="97"/>
      <c r="BC60" s="97"/>
      <c r="BD60" s="97"/>
      <c r="BE60" s="97"/>
    </row>
    <row r="61" s="115" customFormat="1" customHeight="1" spans="1:57">
      <c r="A61" s="115" t="s">
        <v>3062</v>
      </c>
      <c r="B61" s="111" t="s">
        <v>3063</v>
      </c>
      <c r="C61" s="554" t="s">
        <v>3064</v>
      </c>
      <c r="D61" s="121" t="s">
        <v>3065</v>
      </c>
      <c r="E61" s="266">
        <v>13733181519</v>
      </c>
      <c r="F61" s="267">
        <v>1</v>
      </c>
      <c r="G61" s="268">
        <v>1276</v>
      </c>
      <c r="H61" s="268">
        <v>13.93</v>
      </c>
      <c r="I61" s="274" t="s">
        <v>2657</v>
      </c>
      <c r="J61" s="113" t="s">
        <v>3066</v>
      </c>
      <c r="K61" s="266">
        <v>15.15</v>
      </c>
      <c r="L61" s="266" t="s">
        <v>3048</v>
      </c>
      <c r="M61" s="275" t="s">
        <v>3067</v>
      </c>
      <c r="N61" s="113" t="s">
        <v>66</v>
      </c>
      <c r="O61" s="113"/>
      <c r="P61" s="113"/>
      <c r="Q61" s="113">
        <v>48507.33</v>
      </c>
      <c r="R61" s="113">
        <v>675707</v>
      </c>
      <c r="S61" s="280">
        <v>375707</v>
      </c>
      <c r="T61" s="281">
        <f t="shared" ref="T61:T69" si="16">R61-S61</f>
        <v>300000</v>
      </c>
      <c r="U61" s="280"/>
      <c r="V61" s="280">
        <v>905</v>
      </c>
      <c r="W61" s="280">
        <v>550</v>
      </c>
      <c r="X61" s="280"/>
      <c r="Y61" s="113" t="s">
        <v>2669</v>
      </c>
      <c r="Z61" s="113"/>
      <c r="AA61" s="275"/>
      <c r="AB61" s="113"/>
      <c r="AC61" s="113">
        <v>1250</v>
      </c>
      <c r="AD61" s="113"/>
      <c r="AE61" s="133"/>
      <c r="AG61" s="133"/>
      <c r="AH61" s="133"/>
      <c r="AI61" s="132">
        <f t="shared" si="14"/>
        <v>378412</v>
      </c>
      <c r="AJ61" s="132">
        <f t="shared" si="15"/>
        <v>377162</v>
      </c>
      <c r="AK61" s="133">
        <f t="shared" si="7"/>
        <v>1250</v>
      </c>
      <c r="AL61" s="132"/>
      <c r="AM61" s="133"/>
      <c r="AN61" s="246">
        <v>44841</v>
      </c>
      <c r="AO61" s="137"/>
      <c r="AP61" s="97"/>
      <c r="AQ61" s="97"/>
      <c r="AR61" s="97"/>
      <c r="AS61" s="97"/>
      <c r="AT61" s="97"/>
      <c r="AU61" s="97"/>
      <c r="AV61" s="97"/>
      <c r="AW61" s="97"/>
      <c r="AX61" s="97"/>
      <c r="AY61" s="97"/>
      <c r="AZ61" s="97"/>
      <c r="BA61" s="97"/>
      <c r="BB61" s="97"/>
      <c r="BC61" s="97"/>
      <c r="BD61" s="97"/>
      <c r="BE61" s="97"/>
    </row>
    <row r="62" s="115" customFormat="1" customHeight="1" spans="1:57">
      <c r="A62" s="115" t="s">
        <v>3068</v>
      </c>
      <c r="B62" s="111" t="s">
        <v>3069</v>
      </c>
      <c r="C62" s="554" t="s">
        <v>3070</v>
      </c>
      <c r="D62" s="121" t="s">
        <v>3071</v>
      </c>
      <c r="E62" s="266">
        <v>13676938679</v>
      </c>
      <c r="F62" s="267">
        <v>4</v>
      </c>
      <c r="G62" s="268">
        <v>4209</v>
      </c>
      <c r="H62" s="268">
        <v>20.16</v>
      </c>
      <c r="I62" s="274" t="s">
        <v>2657</v>
      </c>
      <c r="J62" s="113" t="s">
        <v>3072</v>
      </c>
      <c r="K62" s="266">
        <v>17.6</v>
      </c>
      <c r="L62" s="266" t="s">
        <v>3073</v>
      </c>
      <c r="M62" s="275" t="s">
        <v>3074</v>
      </c>
      <c r="N62" s="113" t="s">
        <v>66</v>
      </c>
      <c r="O62" s="113"/>
      <c r="P62" s="113"/>
      <c r="Q62" s="113">
        <v>26297.9</v>
      </c>
      <c r="R62" s="113">
        <v>462843</v>
      </c>
      <c r="S62" s="280">
        <v>232843</v>
      </c>
      <c r="T62" s="281">
        <f t="shared" si="16"/>
        <v>230000</v>
      </c>
      <c r="U62" s="280"/>
      <c r="V62" s="280"/>
      <c r="W62" s="280"/>
      <c r="X62" s="280"/>
      <c r="Y62" s="113"/>
      <c r="Z62" s="113"/>
      <c r="AA62" s="275"/>
      <c r="AB62" s="113"/>
      <c r="AC62" s="113"/>
      <c r="AD62" s="113"/>
      <c r="AE62" s="133"/>
      <c r="AF62" s="115" t="s">
        <v>3075</v>
      </c>
      <c r="AG62" s="133" t="s">
        <v>3076</v>
      </c>
      <c r="AH62" s="133"/>
      <c r="AI62" s="132">
        <f t="shared" si="14"/>
        <v>232843</v>
      </c>
      <c r="AJ62" s="132">
        <f t="shared" si="15"/>
        <v>232843</v>
      </c>
      <c r="AK62" s="133">
        <f t="shared" si="7"/>
        <v>0</v>
      </c>
      <c r="AL62" s="132"/>
      <c r="AM62" s="133"/>
      <c r="AN62" s="246">
        <v>44841</v>
      </c>
      <c r="AO62" s="137"/>
      <c r="AP62" s="97"/>
      <c r="AQ62" s="97"/>
      <c r="AR62" s="97"/>
      <c r="AS62" s="97"/>
      <c r="AT62" s="97"/>
      <c r="AU62" s="97"/>
      <c r="AV62" s="97"/>
      <c r="AW62" s="97"/>
      <c r="AX62" s="97"/>
      <c r="AY62" s="97"/>
      <c r="AZ62" s="97"/>
      <c r="BA62" s="97"/>
      <c r="BB62" s="97"/>
      <c r="BC62" s="97"/>
      <c r="BD62" s="97"/>
      <c r="BE62" s="97"/>
    </row>
    <row r="63" s="115" customFormat="1" customHeight="1" spans="1:57">
      <c r="A63" s="115" t="s">
        <v>3077</v>
      </c>
      <c r="B63" s="111" t="s">
        <v>3078</v>
      </c>
      <c r="C63" s="554" t="s">
        <v>3079</v>
      </c>
      <c r="D63" s="121" t="s">
        <v>3080</v>
      </c>
      <c r="E63" s="266">
        <v>13523455771</v>
      </c>
      <c r="F63" s="267">
        <v>4</v>
      </c>
      <c r="G63" s="268">
        <v>4146</v>
      </c>
      <c r="H63" s="268">
        <v>53.31</v>
      </c>
      <c r="I63" s="274" t="s">
        <v>2665</v>
      </c>
      <c r="J63" s="113" t="s">
        <v>3081</v>
      </c>
      <c r="K63" s="266">
        <v>53.9</v>
      </c>
      <c r="L63" s="266" t="s">
        <v>2711</v>
      </c>
      <c r="M63" s="275" t="s">
        <v>2941</v>
      </c>
      <c r="N63" s="113" t="s">
        <v>56</v>
      </c>
      <c r="O63" s="113"/>
      <c r="P63" s="113"/>
      <c r="Q63" s="113">
        <v>19556.38</v>
      </c>
      <c r="R63" s="113">
        <v>1042551</v>
      </c>
      <c r="S63" s="280">
        <v>1042551</v>
      </c>
      <c r="T63" s="281">
        <f t="shared" si="16"/>
        <v>0</v>
      </c>
      <c r="U63" s="280"/>
      <c r="V63" s="280">
        <v>3465</v>
      </c>
      <c r="W63" s="280">
        <v>550</v>
      </c>
      <c r="X63" s="280">
        <v>7523</v>
      </c>
      <c r="Y63" s="113" t="s">
        <v>2669</v>
      </c>
      <c r="Z63" s="113" t="s">
        <v>48</v>
      </c>
      <c r="AA63" s="275">
        <v>44019</v>
      </c>
      <c r="AB63" s="113"/>
      <c r="AC63" s="113"/>
      <c r="AD63" s="113"/>
      <c r="AE63" s="133"/>
      <c r="AF63" s="115" t="s">
        <v>237</v>
      </c>
      <c r="AG63" s="133" t="s">
        <v>3082</v>
      </c>
      <c r="AH63" s="133"/>
      <c r="AI63" s="132">
        <f t="shared" si="14"/>
        <v>1054089</v>
      </c>
      <c r="AJ63" s="132">
        <f t="shared" si="15"/>
        <v>1054089</v>
      </c>
      <c r="AK63" s="133">
        <f t="shared" si="7"/>
        <v>0</v>
      </c>
      <c r="AL63" s="132"/>
      <c r="AM63" s="133"/>
      <c r="AN63" s="246">
        <v>44841</v>
      </c>
      <c r="AO63" s="137"/>
      <c r="AP63" s="97"/>
      <c r="AQ63" s="97"/>
      <c r="AR63" s="97"/>
      <c r="AS63" s="97"/>
      <c r="AT63" s="97"/>
      <c r="AU63" s="97"/>
      <c r="AV63" s="97"/>
      <c r="AW63" s="97"/>
      <c r="AX63" s="97"/>
      <c r="AY63" s="97"/>
      <c r="AZ63" s="97"/>
      <c r="BA63" s="97"/>
      <c r="BB63" s="97"/>
      <c r="BC63" s="97"/>
      <c r="BD63" s="97"/>
      <c r="BE63" s="97"/>
    </row>
    <row r="64" s="115" customFormat="1" customHeight="1" spans="1:57">
      <c r="A64" s="115" t="s">
        <v>3083</v>
      </c>
      <c r="B64" s="111" t="s">
        <v>3084</v>
      </c>
      <c r="C64" s="111" t="s">
        <v>3085</v>
      </c>
      <c r="D64" s="121" t="s">
        <v>3086</v>
      </c>
      <c r="E64" s="266" t="s">
        <v>3087</v>
      </c>
      <c r="F64" s="267">
        <v>4</v>
      </c>
      <c r="G64" s="268">
        <v>4428</v>
      </c>
      <c r="H64" s="268">
        <v>31.29</v>
      </c>
      <c r="I64" s="274" t="s">
        <v>2665</v>
      </c>
      <c r="J64" s="113" t="s">
        <v>3088</v>
      </c>
      <c r="K64" s="266">
        <v>38.3</v>
      </c>
      <c r="L64" s="266" t="s">
        <v>3089</v>
      </c>
      <c r="M64" s="275" t="s">
        <v>3090</v>
      </c>
      <c r="N64" s="113" t="s">
        <v>56</v>
      </c>
      <c r="O64" s="113"/>
      <c r="P64" s="113"/>
      <c r="Q64" s="113">
        <v>21222.43</v>
      </c>
      <c r="R64" s="113">
        <v>812819</v>
      </c>
      <c r="S64" s="280">
        <v>812819</v>
      </c>
      <c r="T64" s="281">
        <f t="shared" si="16"/>
        <v>0</v>
      </c>
      <c r="U64" s="280"/>
      <c r="V64" s="280"/>
      <c r="W64" s="280"/>
      <c r="X64" s="280"/>
      <c r="Y64" s="113"/>
      <c r="Z64" s="113"/>
      <c r="AA64" s="275"/>
      <c r="AB64" s="113"/>
      <c r="AC64" s="113"/>
      <c r="AD64" s="113"/>
      <c r="AE64" s="133"/>
      <c r="AG64" s="133"/>
      <c r="AH64" s="133"/>
      <c r="AI64" s="132">
        <f t="shared" si="14"/>
        <v>812819</v>
      </c>
      <c r="AJ64" s="132">
        <f t="shared" si="15"/>
        <v>812819</v>
      </c>
      <c r="AK64" s="133">
        <f t="shared" si="7"/>
        <v>0</v>
      </c>
      <c r="AL64" s="132"/>
      <c r="AM64" s="133"/>
      <c r="AN64" s="246">
        <v>44841</v>
      </c>
      <c r="AO64" s="137"/>
      <c r="AP64" s="97"/>
      <c r="AQ64" s="97"/>
      <c r="AR64" s="97"/>
      <c r="AS64" s="97"/>
      <c r="AT64" s="97"/>
      <c r="AU64" s="97"/>
      <c r="AV64" s="97"/>
      <c r="AW64" s="97"/>
      <c r="AX64" s="97"/>
      <c r="AY64" s="97"/>
      <c r="AZ64" s="97"/>
      <c r="BA64" s="97"/>
      <c r="BB64" s="97"/>
      <c r="BC64" s="97"/>
      <c r="BD64" s="97"/>
      <c r="BE64" s="97"/>
    </row>
    <row r="65" s="115" customFormat="1" customHeight="1" spans="1:57">
      <c r="A65" s="115" t="s">
        <v>3091</v>
      </c>
      <c r="B65" s="111" t="s">
        <v>3092</v>
      </c>
      <c r="C65" s="554" t="s">
        <v>3093</v>
      </c>
      <c r="D65" s="121" t="s">
        <v>3094</v>
      </c>
      <c r="E65" s="266">
        <v>13937138233</v>
      </c>
      <c r="F65" s="267">
        <v>4</v>
      </c>
      <c r="G65" s="268">
        <v>4532</v>
      </c>
      <c r="H65" s="268">
        <v>15.53</v>
      </c>
      <c r="I65" s="274" t="s">
        <v>2657</v>
      </c>
      <c r="J65" s="113" t="s">
        <v>3095</v>
      </c>
      <c r="K65" s="266">
        <v>14.18</v>
      </c>
      <c r="L65" s="266" t="s">
        <v>3096</v>
      </c>
      <c r="M65" s="275" t="s">
        <v>2869</v>
      </c>
      <c r="N65" s="113" t="s">
        <v>56</v>
      </c>
      <c r="O65" s="113"/>
      <c r="P65" s="113"/>
      <c r="Q65" s="113">
        <v>25314.29</v>
      </c>
      <c r="R65" s="113">
        <v>393131</v>
      </c>
      <c r="S65" s="280">
        <v>393131</v>
      </c>
      <c r="T65" s="281">
        <f t="shared" si="16"/>
        <v>0</v>
      </c>
      <c r="U65" s="280"/>
      <c r="V65" s="280">
        <v>1009</v>
      </c>
      <c r="W65" s="280">
        <v>550</v>
      </c>
      <c r="X65" s="280"/>
      <c r="Y65" s="113" t="s">
        <v>2669</v>
      </c>
      <c r="Z65" s="113" t="s">
        <v>48</v>
      </c>
      <c r="AA65" s="275">
        <v>44051</v>
      </c>
      <c r="AB65" s="113"/>
      <c r="AC65" s="113"/>
      <c r="AD65" s="113"/>
      <c r="AE65" s="133"/>
      <c r="AF65" s="115" t="s">
        <v>237</v>
      </c>
      <c r="AG65" s="133" t="s">
        <v>160</v>
      </c>
      <c r="AH65" s="133"/>
      <c r="AI65" s="132">
        <f t="shared" si="14"/>
        <v>394690</v>
      </c>
      <c r="AJ65" s="132">
        <f t="shared" si="15"/>
        <v>394690</v>
      </c>
      <c r="AK65" s="133">
        <f t="shared" si="7"/>
        <v>0</v>
      </c>
      <c r="AL65" s="132"/>
      <c r="AM65" s="133"/>
      <c r="AN65" s="246">
        <v>44841</v>
      </c>
      <c r="AO65" s="137"/>
      <c r="AP65" s="97"/>
      <c r="AQ65" s="97"/>
      <c r="AR65" s="97"/>
      <c r="AS65" s="97"/>
      <c r="AT65" s="97"/>
      <c r="AU65" s="97"/>
      <c r="AV65" s="97"/>
      <c r="AW65" s="97"/>
      <c r="AX65" s="97"/>
      <c r="AY65" s="97"/>
      <c r="AZ65" s="97"/>
      <c r="BA65" s="97"/>
      <c r="BB65" s="97"/>
      <c r="BC65" s="97"/>
      <c r="BD65" s="97"/>
      <c r="BE65" s="97"/>
    </row>
    <row r="66" s="115" customFormat="1" customHeight="1" spans="1:57">
      <c r="A66" s="115" t="s">
        <v>3097</v>
      </c>
      <c r="B66" s="111" t="s">
        <v>3098</v>
      </c>
      <c r="C66" s="111" t="s">
        <v>3099</v>
      </c>
      <c r="D66" s="121" t="s">
        <v>3100</v>
      </c>
      <c r="E66" s="266" t="s">
        <v>3101</v>
      </c>
      <c r="F66" s="267">
        <v>4</v>
      </c>
      <c r="G66" s="268">
        <v>4354</v>
      </c>
      <c r="H66" s="268">
        <v>17.85</v>
      </c>
      <c r="I66" s="274" t="s">
        <v>2657</v>
      </c>
      <c r="J66" s="113" t="s">
        <v>3102</v>
      </c>
      <c r="K66" s="266">
        <v>15.4</v>
      </c>
      <c r="L66" s="266" t="s">
        <v>3096</v>
      </c>
      <c r="M66" s="275" t="s">
        <v>2869</v>
      </c>
      <c r="N66" s="113" t="s">
        <v>56</v>
      </c>
      <c r="O66" s="113"/>
      <c r="P66" s="113"/>
      <c r="Q66" s="113">
        <v>24300</v>
      </c>
      <c r="R66" s="113">
        <v>433755</v>
      </c>
      <c r="S66" s="280">
        <v>433755</v>
      </c>
      <c r="T66" s="281">
        <f t="shared" si="16"/>
        <v>0</v>
      </c>
      <c r="U66" s="280"/>
      <c r="V66" s="280">
        <v>1160</v>
      </c>
      <c r="W66" s="280">
        <v>560</v>
      </c>
      <c r="X66" s="280"/>
      <c r="Y66" s="113" t="s">
        <v>2669</v>
      </c>
      <c r="Z66" s="113" t="s">
        <v>48</v>
      </c>
      <c r="AA66" s="275">
        <v>44021</v>
      </c>
      <c r="AB66" s="113"/>
      <c r="AC66" s="113"/>
      <c r="AD66" s="113"/>
      <c r="AE66" s="133"/>
      <c r="AF66" s="115" t="s">
        <v>237</v>
      </c>
      <c r="AG66" s="133" t="s">
        <v>160</v>
      </c>
      <c r="AH66" s="133"/>
      <c r="AI66" s="132">
        <f t="shared" ref="AI66:AI71" si="17">S66+U66+V66+W66+X66+AC66+AD66+AE66</f>
        <v>435475</v>
      </c>
      <c r="AJ66" s="132">
        <f t="shared" ref="AJ66:AJ71" si="18">S66+U66+V66+W66+X66</f>
        <v>435475</v>
      </c>
      <c r="AK66" s="133">
        <f t="shared" si="7"/>
        <v>0</v>
      </c>
      <c r="AL66" s="132"/>
      <c r="AM66" s="133"/>
      <c r="AN66" s="246">
        <v>44841</v>
      </c>
      <c r="AO66" s="137"/>
      <c r="AP66" s="97"/>
      <c r="AQ66" s="97"/>
      <c r="AR66" s="97"/>
      <c r="AS66" s="97"/>
      <c r="AT66" s="97"/>
      <c r="AU66" s="97"/>
      <c r="AV66" s="97"/>
      <c r="AW66" s="97"/>
      <c r="AX66" s="97"/>
      <c r="AY66" s="97"/>
      <c r="AZ66" s="97"/>
      <c r="BA66" s="97"/>
      <c r="BB66" s="97"/>
      <c r="BC66" s="97"/>
      <c r="BD66" s="97"/>
      <c r="BE66" s="97"/>
    </row>
    <row r="67" s="115" customFormat="1" customHeight="1" spans="1:57">
      <c r="A67" s="115" t="s">
        <v>3103</v>
      </c>
      <c r="B67" s="111" t="s">
        <v>3104</v>
      </c>
      <c r="C67" s="554" t="s">
        <v>3105</v>
      </c>
      <c r="D67" s="121" t="s">
        <v>3106</v>
      </c>
      <c r="E67" s="266">
        <v>13007537699</v>
      </c>
      <c r="F67" s="267">
        <v>1</v>
      </c>
      <c r="G67" s="268">
        <v>1797</v>
      </c>
      <c r="H67" s="268">
        <v>13.77</v>
      </c>
      <c r="I67" s="274" t="s">
        <v>2657</v>
      </c>
      <c r="J67" s="113" t="s">
        <v>3107</v>
      </c>
      <c r="K67" s="266">
        <v>12.04</v>
      </c>
      <c r="L67" s="266" t="s">
        <v>3108</v>
      </c>
      <c r="M67" s="275" t="s">
        <v>3109</v>
      </c>
      <c r="N67" s="113" t="s">
        <v>66</v>
      </c>
      <c r="O67" s="113"/>
      <c r="P67" s="113"/>
      <c r="Q67" s="113">
        <v>48376.08</v>
      </c>
      <c r="R67" s="113">
        <v>582448</v>
      </c>
      <c r="S67" s="280">
        <v>292448</v>
      </c>
      <c r="T67" s="281">
        <f t="shared" si="16"/>
        <v>290000</v>
      </c>
      <c r="U67" s="280"/>
      <c r="V67" s="280"/>
      <c r="W67" s="280"/>
      <c r="X67" s="280"/>
      <c r="Y67" s="113"/>
      <c r="Z67" s="113"/>
      <c r="AA67" s="275"/>
      <c r="AB67" s="113" t="s">
        <v>3110</v>
      </c>
      <c r="AC67" s="113"/>
      <c r="AD67" s="113"/>
      <c r="AE67" s="133"/>
      <c r="AF67" s="115" t="s">
        <v>237</v>
      </c>
      <c r="AG67" s="133" t="s">
        <v>160</v>
      </c>
      <c r="AH67" s="133"/>
      <c r="AI67" s="132">
        <f t="shared" si="17"/>
        <v>292448</v>
      </c>
      <c r="AJ67" s="132">
        <f t="shared" si="18"/>
        <v>292448</v>
      </c>
      <c r="AK67" s="133">
        <f t="shared" si="7"/>
        <v>0</v>
      </c>
      <c r="AL67" s="132"/>
      <c r="AM67" s="133"/>
      <c r="AN67" s="246">
        <v>44841</v>
      </c>
      <c r="AO67" s="137"/>
      <c r="AP67" s="97"/>
      <c r="AQ67" s="97"/>
      <c r="AR67" s="97"/>
      <c r="AS67" s="97"/>
      <c r="AT67" s="97"/>
      <c r="AU67" s="97"/>
      <c r="AV67" s="97"/>
      <c r="AW67" s="97"/>
      <c r="AX67" s="97"/>
      <c r="AY67" s="97"/>
      <c r="AZ67" s="97"/>
      <c r="BA67" s="97"/>
      <c r="BB67" s="97"/>
      <c r="BC67" s="97"/>
      <c r="BD67" s="97"/>
      <c r="BE67" s="97"/>
    </row>
    <row r="68" s="115" customFormat="1" customHeight="1" spans="1:57">
      <c r="A68" s="115" t="s">
        <v>3111</v>
      </c>
      <c r="B68" s="111" t="s">
        <v>3112</v>
      </c>
      <c r="C68" s="111" t="s">
        <v>3113</v>
      </c>
      <c r="D68" s="121" t="s">
        <v>3114</v>
      </c>
      <c r="E68" s="266">
        <v>15093405131</v>
      </c>
      <c r="F68" s="267">
        <v>3</v>
      </c>
      <c r="G68" s="268" t="s">
        <v>3115</v>
      </c>
      <c r="H68" s="268">
        <v>17.62</v>
      </c>
      <c r="I68" s="274" t="s">
        <v>2657</v>
      </c>
      <c r="J68" s="113" t="s">
        <v>3116</v>
      </c>
      <c r="K68" s="266">
        <v>17.48</v>
      </c>
      <c r="L68" s="266" t="s">
        <v>3117</v>
      </c>
      <c r="M68" s="275" t="s">
        <v>3118</v>
      </c>
      <c r="N68" s="113" t="s">
        <v>56</v>
      </c>
      <c r="O68" s="113"/>
      <c r="P68" s="113"/>
      <c r="Q68" s="113">
        <v>30780.7</v>
      </c>
      <c r="R68" s="113">
        <v>542356</v>
      </c>
      <c r="S68" s="280">
        <v>542356</v>
      </c>
      <c r="T68" s="281">
        <f t="shared" si="16"/>
        <v>0</v>
      </c>
      <c r="U68" s="280"/>
      <c r="V68" s="280">
        <v>1145</v>
      </c>
      <c r="W68" s="280">
        <v>550</v>
      </c>
      <c r="X68" s="280"/>
      <c r="Y68" s="113" t="s">
        <v>2669</v>
      </c>
      <c r="Z68" s="113" t="s">
        <v>48</v>
      </c>
      <c r="AA68" s="275">
        <v>44190</v>
      </c>
      <c r="AB68" s="113"/>
      <c r="AC68" s="113"/>
      <c r="AD68" s="113"/>
      <c r="AE68" s="133"/>
      <c r="AG68" s="133"/>
      <c r="AH68" s="133"/>
      <c r="AI68" s="132">
        <f t="shared" si="17"/>
        <v>544051</v>
      </c>
      <c r="AJ68" s="132">
        <f t="shared" si="18"/>
        <v>544051</v>
      </c>
      <c r="AK68" s="133">
        <f t="shared" si="7"/>
        <v>0</v>
      </c>
      <c r="AL68" s="132"/>
      <c r="AM68" s="133"/>
      <c r="AN68" s="246">
        <v>44841</v>
      </c>
      <c r="AO68" s="137"/>
      <c r="AP68" s="97"/>
      <c r="AQ68" s="97"/>
      <c r="AR68" s="97"/>
      <c r="AS68" s="97"/>
      <c r="AT68" s="97"/>
      <c r="AU68" s="97"/>
      <c r="AV68" s="97"/>
      <c r="AW68" s="97"/>
      <c r="AX68" s="97"/>
      <c r="AY68" s="97"/>
      <c r="AZ68" s="97"/>
      <c r="BA68" s="97"/>
      <c r="BB68" s="97"/>
      <c r="BC68" s="97"/>
      <c r="BD68" s="97"/>
      <c r="BE68" s="97"/>
    </row>
    <row r="69" s="115" customFormat="1" customHeight="1" spans="1:57">
      <c r="A69" s="115" t="s">
        <v>3119</v>
      </c>
      <c r="B69" s="111" t="s">
        <v>3120</v>
      </c>
      <c r="C69" s="111" t="s">
        <v>3121</v>
      </c>
      <c r="D69" s="121" t="s">
        <v>3122</v>
      </c>
      <c r="E69" s="266">
        <v>15936200737</v>
      </c>
      <c r="F69" s="267">
        <v>1</v>
      </c>
      <c r="G69" s="268">
        <v>1153</v>
      </c>
      <c r="H69" s="268">
        <v>41.7</v>
      </c>
      <c r="I69" s="274" t="s">
        <v>2657</v>
      </c>
      <c r="J69" s="113" t="s">
        <v>3123</v>
      </c>
      <c r="K69" s="266">
        <v>36.11</v>
      </c>
      <c r="L69" s="266" t="s">
        <v>3124</v>
      </c>
      <c r="M69" s="275" t="s">
        <v>3125</v>
      </c>
      <c r="N69" s="113" t="s">
        <v>66</v>
      </c>
      <c r="O69" s="113"/>
      <c r="P69" s="113"/>
      <c r="Q69" s="113">
        <v>47030.07</v>
      </c>
      <c r="R69" s="113">
        <v>1698256</v>
      </c>
      <c r="S69" s="280">
        <v>858256</v>
      </c>
      <c r="T69" s="281">
        <f t="shared" si="16"/>
        <v>840000</v>
      </c>
      <c r="U69" s="280"/>
      <c r="V69" s="280"/>
      <c r="W69" s="280"/>
      <c r="X69" s="280"/>
      <c r="Y69" s="113"/>
      <c r="Z69" s="113"/>
      <c r="AA69" s="275"/>
      <c r="AB69" s="113"/>
      <c r="AC69" s="113"/>
      <c r="AD69" s="113"/>
      <c r="AE69" s="133"/>
      <c r="AF69" s="115" t="s">
        <v>237</v>
      </c>
      <c r="AG69" s="133" t="s">
        <v>160</v>
      </c>
      <c r="AH69" s="133"/>
      <c r="AI69" s="132">
        <f t="shared" si="17"/>
        <v>858256</v>
      </c>
      <c r="AJ69" s="132">
        <f t="shared" si="18"/>
        <v>858256</v>
      </c>
      <c r="AK69" s="133">
        <f t="shared" si="7"/>
        <v>0</v>
      </c>
      <c r="AL69" s="132"/>
      <c r="AM69" s="133"/>
      <c r="AN69" s="246">
        <v>44841</v>
      </c>
      <c r="AO69" s="137"/>
      <c r="AP69" s="97"/>
      <c r="AQ69" s="97"/>
      <c r="AR69" s="97"/>
      <c r="AS69" s="97"/>
      <c r="AT69" s="97"/>
      <c r="AU69" s="97"/>
      <c r="AV69" s="97"/>
      <c r="AW69" s="97"/>
      <c r="AX69" s="97"/>
      <c r="AY69" s="97"/>
      <c r="AZ69" s="97"/>
      <c r="BA69" s="97"/>
      <c r="BB69" s="97"/>
      <c r="BC69" s="97"/>
      <c r="BD69" s="97"/>
      <c r="BE69" s="97"/>
    </row>
    <row r="70" s="115" customFormat="1" customHeight="1" spans="1:57">
      <c r="A70" s="115" t="s">
        <v>3126</v>
      </c>
      <c r="B70" s="111" t="s">
        <v>3127</v>
      </c>
      <c r="C70" s="111" t="s">
        <v>3128</v>
      </c>
      <c r="D70" s="121" t="s">
        <v>3129</v>
      </c>
      <c r="E70" s="266">
        <v>13203803931</v>
      </c>
      <c r="F70" s="267">
        <v>3</v>
      </c>
      <c r="G70" s="268">
        <v>3171</v>
      </c>
      <c r="H70" s="268">
        <v>21.89</v>
      </c>
      <c r="I70" s="274" t="s">
        <v>2657</v>
      </c>
      <c r="J70" s="113" t="s">
        <v>3130</v>
      </c>
      <c r="K70" s="266">
        <v>21.79</v>
      </c>
      <c r="L70" s="266" t="s">
        <v>3131</v>
      </c>
      <c r="M70" s="275" t="s">
        <v>3132</v>
      </c>
      <c r="N70" s="113" t="s">
        <v>66</v>
      </c>
      <c r="O70" s="113"/>
      <c r="P70" s="113"/>
      <c r="Q70" s="113">
        <v>31474.44</v>
      </c>
      <c r="R70" s="113">
        <v>688975</v>
      </c>
      <c r="S70" s="280">
        <v>348975</v>
      </c>
      <c r="T70" s="281">
        <v>340000</v>
      </c>
      <c r="U70" s="280"/>
      <c r="V70" s="280">
        <v>1422</v>
      </c>
      <c r="W70" s="280">
        <v>550</v>
      </c>
      <c r="X70" s="280"/>
      <c r="Y70" s="113"/>
      <c r="Z70" s="113"/>
      <c r="AA70" s="275"/>
      <c r="AB70" s="113" t="s">
        <v>3133</v>
      </c>
      <c r="AC70" s="113"/>
      <c r="AD70" s="113"/>
      <c r="AE70" s="133"/>
      <c r="AG70" s="133"/>
      <c r="AH70" s="133"/>
      <c r="AI70" s="132">
        <f t="shared" si="17"/>
        <v>350947</v>
      </c>
      <c r="AJ70" s="132">
        <f t="shared" si="18"/>
        <v>350947</v>
      </c>
      <c r="AK70" s="133">
        <f t="shared" si="7"/>
        <v>0</v>
      </c>
      <c r="AL70" s="132"/>
      <c r="AM70" s="133"/>
      <c r="AN70" s="246">
        <v>44841</v>
      </c>
      <c r="AO70" s="137"/>
      <c r="AP70" s="97"/>
      <c r="AQ70" s="97"/>
      <c r="AR70" s="97"/>
      <c r="AS70" s="97"/>
      <c r="AT70" s="97"/>
      <c r="AU70" s="97"/>
      <c r="AV70" s="97"/>
      <c r="AW70" s="97"/>
      <c r="AX70" s="97"/>
      <c r="AY70" s="97"/>
      <c r="AZ70" s="97"/>
      <c r="BA70" s="97"/>
      <c r="BB70" s="97"/>
      <c r="BC70" s="97"/>
      <c r="BD70" s="97"/>
      <c r="BE70" s="97"/>
    </row>
    <row r="71" s="115" customFormat="1" customHeight="1" spans="1:57">
      <c r="A71" s="115" t="s">
        <v>3134</v>
      </c>
      <c r="B71" s="111" t="s">
        <v>3135</v>
      </c>
      <c r="C71" s="111" t="s">
        <v>3136</v>
      </c>
      <c r="D71" s="121" t="s">
        <v>3137</v>
      </c>
      <c r="E71" s="266">
        <v>13838397654</v>
      </c>
      <c r="F71" s="267">
        <v>3</v>
      </c>
      <c r="G71" s="268">
        <v>3256</v>
      </c>
      <c r="H71" s="268">
        <v>21.64</v>
      </c>
      <c r="I71" s="274" t="s">
        <v>2657</v>
      </c>
      <c r="J71" s="113" t="s">
        <v>3138</v>
      </c>
      <c r="K71" s="266">
        <v>21.33</v>
      </c>
      <c r="L71" s="266" t="s">
        <v>3049</v>
      </c>
      <c r="M71" s="275" t="s">
        <v>3139</v>
      </c>
      <c r="N71" s="113" t="s">
        <v>66</v>
      </c>
      <c r="O71" s="113"/>
      <c r="P71" s="113"/>
      <c r="Q71" s="113">
        <v>31634.46</v>
      </c>
      <c r="R71" s="113">
        <v>674763</v>
      </c>
      <c r="S71" s="280">
        <v>344763</v>
      </c>
      <c r="T71" s="281">
        <v>330000</v>
      </c>
      <c r="U71" s="280"/>
      <c r="V71" s="280"/>
      <c r="W71" s="280"/>
      <c r="X71" s="280"/>
      <c r="Y71" s="113"/>
      <c r="Z71" s="113"/>
      <c r="AA71" s="275"/>
      <c r="AB71" s="113"/>
      <c r="AC71" s="113"/>
      <c r="AD71" s="113"/>
      <c r="AE71" s="133"/>
      <c r="AG71" s="133"/>
      <c r="AH71" s="133"/>
      <c r="AI71" s="132">
        <f t="shared" si="17"/>
        <v>344763</v>
      </c>
      <c r="AJ71" s="132">
        <f t="shared" si="18"/>
        <v>344763</v>
      </c>
      <c r="AK71" s="133">
        <f t="shared" ref="AK71:AK77" si="19">AI71-AJ71</f>
        <v>0</v>
      </c>
      <c r="AL71" s="132"/>
      <c r="AM71" s="133"/>
      <c r="AN71" s="246">
        <v>44841</v>
      </c>
      <c r="AO71" s="137"/>
      <c r="AP71" s="97"/>
      <c r="AQ71" s="97"/>
      <c r="AR71" s="97"/>
      <c r="AS71" s="97"/>
      <c r="AT71" s="97"/>
      <c r="AU71" s="97"/>
      <c r="AV71" s="97"/>
      <c r="AW71" s="97"/>
      <c r="AX71" s="97"/>
      <c r="AY71" s="97"/>
      <c r="AZ71" s="97"/>
      <c r="BA71" s="97"/>
      <c r="BB71" s="97"/>
      <c r="BC71" s="97"/>
      <c r="BD71" s="97"/>
      <c r="BE71" s="97"/>
    </row>
    <row r="72" s="115" customFormat="1" customHeight="1" spans="1:57">
      <c r="A72" s="115" t="s">
        <v>3140</v>
      </c>
      <c r="B72" s="111" t="s">
        <v>3141</v>
      </c>
      <c r="C72" s="554" t="s">
        <v>3142</v>
      </c>
      <c r="D72" s="121" t="s">
        <v>3143</v>
      </c>
      <c r="E72" s="266">
        <v>13783469663</v>
      </c>
      <c r="F72" s="267">
        <v>4</v>
      </c>
      <c r="G72" s="268">
        <v>434</v>
      </c>
      <c r="H72" s="268">
        <v>30.77</v>
      </c>
      <c r="I72" s="274" t="s">
        <v>2665</v>
      </c>
      <c r="J72" s="113" t="s">
        <v>3144</v>
      </c>
      <c r="K72" s="266">
        <v>36.75</v>
      </c>
      <c r="L72" s="266" t="s">
        <v>2793</v>
      </c>
      <c r="M72" s="275" t="s">
        <v>3145</v>
      </c>
      <c r="N72" s="113" t="s">
        <v>66</v>
      </c>
      <c r="O72" s="113"/>
      <c r="P72" s="113"/>
      <c r="Q72" s="113">
        <v>21680.3537414966</v>
      </c>
      <c r="R72" s="113">
        <v>667104</v>
      </c>
      <c r="S72" s="280">
        <v>405104</v>
      </c>
      <c r="T72" s="281">
        <v>262000</v>
      </c>
      <c r="U72" s="280"/>
      <c r="V72" s="280">
        <v>2000</v>
      </c>
      <c r="W72" s="280">
        <v>550</v>
      </c>
      <c r="X72" s="280"/>
      <c r="Y72" s="113"/>
      <c r="Z72" s="113"/>
      <c r="AA72" s="275"/>
      <c r="AB72" s="113"/>
      <c r="AC72" s="113">
        <v>1796.2</v>
      </c>
      <c r="AD72" s="113"/>
      <c r="AE72" s="133"/>
      <c r="AF72" s="115" t="s">
        <v>123</v>
      </c>
      <c r="AG72" s="133"/>
      <c r="AH72" s="133"/>
      <c r="AI72" s="132">
        <f t="shared" ref="AI72:AI77" si="20">S72+U72+V72+W72+X72+AC72+AD72+AE72</f>
        <v>409450.2</v>
      </c>
      <c r="AJ72" s="132">
        <f t="shared" ref="AJ72:AJ77" si="21">S72+U72+V72+W72+X72</f>
        <v>407654</v>
      </c>
      <c r="AK72" s="133">
        <f t="shared" si="19"/>
        <v>1796.20000000001</v>
      </c>
      <c r="AL72" s="132"/>
      <c r="AM72" s="133"/>
      <c r="AN72" s="246">
        <v>44841</v>
      </c>
      <c r="AO72" s="137"/>
      <c r="AP72" s="97"/>
      <c r="AQ72" s="97"/>
      <c r="AR72" s="97"/>
      <c r="AS72" s="97"/>
      <c r="AT72" s="97"/>
      <c r="AU72" s="97"/>
      <c r="AV72" s="97"/>
      <c r="AW72" s="97"/>
      <c r="AX72" s="97"/>
      <c r="AY72" s="97"/>
      <c r="AZ72" s="97"/>
      <c r="BA72" s="97"/>
      <c r="BB72" s="97"/>
      <c r="BC72" s="97"/>
      <c r="BD72" s="97"/>
      <c r="BE72" s="97"/>
    </row>
    <row r="73" s="115" customFormat="1" customHeight="1" spans="1:57">
      <c r="A73" s="115" t="s">
        <v>3146</v>
      </c>
      <c r="B73" s="111" t="s">
        <v>3147</v>
      </c>
      <c r="C73" s="554" t="s">
        <v>3148</v>
      </c>
      <c r="D73" s="121" t="s">
        <v>3149</v>
      </c>
      <c r="E73" s="266">
        <v>13781186354</v>
      </c>
      <c r="F73" s="267">
        <v>1</v>
      </c>
      <c r="G73" s="268">
        <v>1808</v>
      </c>
      <c r="H73" s="268">
        <v>26.51</v>
      </c>
      <c r="I73" s="274" t="s">
        <v>2657</v>
      </c>
      <c r="J73" s="113" t="s">
        <v>3150</v>
      </c>
      <c r="K73" s="266">
        <v>27.86</v>
      </c>
      <c r="L73" s="266" t="s">
        <v>3151</v>
      </c>
      <c r="M73" s="275" t="s">
        <v>3151</v>
      </c>
      <c r="N73" s="113" t="s">
        <v>56</v>
      </c>
      <c r="O73" s="113"/>
      <c r="P73" s="113"/>
      <c r="Q73" s="113">
        <v>45234.39</v>
      </c>
      <c r="R73" s="113">
        <v>1260230</v>
      </c>
      <c r="S73" s="280">
        <v>1260230</v>
      </c>
      <c r="T73" s="281">
        <v>0</v>
      </c>
      <c r="U73" s="280"/>
      <c r="V73" s="280"/>
      <c r="W73" s="280"/>
      <c r="X73" s="280"/>
      <c r="Y73" s="113"/>
      <c r="Z73" s="113"/>
      <c r="AA73" s="275"/>
      <c r="AB73" s="113"/>
      <c r="AC73" s="113"/>
      <c r="AD73" s="113"/>
      <c r="AE73" s="133"/>
      <c r="AG73" s="133"/>
      <c r="AH73" s="133"/>
      <c r="AI73" s="132">
        <f t="shared" si="20"/>
        <v>1260230</v>
      </c>
      <c r="AJ73" s="132">
        <f t="shared" si="21"/>
        <v>1260230</v>
      </c>
      <c r="AK73" s="133">
        <f t="shared" si="19"/>
        <v>0</v>
      </c>
      <c r="AL73" s="132"/>
      <c r="AM73" s="133"/>
      <c r="AN73" s="246">
        <v>44841</v>
      </c>
      <c r="AO73" s="137"/>
      <c r="AP73" s="97"/>
      <c r="AQ73" s="97"/>
      <c r="AR73" s="97"/>
      <c r="AS73" s="97"/>
      <c r="AT73" s="97"/>
      <c r="AU73" s="97"/>
      <c r="AV73" s="97"/>
      <c r="AW73" s="97"/>
      <c r="AX73" s="97"/>
      <c r="AY73" s="97"/>
      <c r="AZ73" s="97"/>
      <c r="BA73" s="97"/>
      <c r="BB73" s="97"/>
      <c r="BC73" s="97"/>
      <c r="BD73" s="97"/>
      <c r="BE73" s="97"/>
    </row>
    <row r="74" s="115" customFormat="1" customHeight="1" spans="1:57">
      <c r="A74" s="115" t="s">
        <v>3152</v>
      </c>
      <c r="B74" s="111" t="s">
        <v>3153</v>
      </c>
      <c r="C74" s="111" t="s">
        <v>3154</v>
      </c>
      <c r="D74" s="121" t="s">
        <v>3155</v>
      </c>
      <c r="E74" s="266">
        <v>13598528889</v>
      </c>
      <c r="F74" s="267">
        <v>1</v>
      </c>
      <c r="G74" s="268">
        <v>1134</v>
      </c>
      <c r="H74" s="268">
        <v>33.26</v>
      </c>
      <c r="I74" s="274" t="s">
        <v>2665</v>
      </c>
      <c r="J74" s="113" t="s">
        <v>3156</v>
      </c>
      <c r="K74" s="266">
        <v>35.78</v>
      </c>
      <c r="L74" s="266" t="s">
        <v>2711</v>
      </c>
      <c r="M74" s="275">
        <v>43420</v>
      </c>
      <c r="N74" s="113" t="s">
        <v>56</v>
      </c>
      <c r="O74" s="113"/>
      <c r="P74" s="113"/>
      <c r="Q74" s="113">
        <v>45082.5880380101</v>
      </c>
      <c r="R74" s="113">
        <v>1613055</v>
      </c>
      <c r="S74" s="280">
        <v>1613055</v>
      </c>
      <c r="T74" s="281">
        <v>0</v>
      </c>
      <c r="U74" s="280"/>
      <c r="V74" s="280"/>
      <c r="W74" s="280"/>
      <c r="X74" s="280"/>
      <c r="Y74" s="113"/>
      <c r="Z74" s="113"/>
      <c r="AA74" s="275"/>
      <c r="AB74" s="113"/>
      <c r="AC74" s="113"/>
      <c r="AD74" s="113"/>
      <c r="AE74" s="133"/>
      <c r="AG74" s="133"/>
      <c r="AH74" s="133"/>
      <c r="AI74" s="132">
        <f t="shared" si="20"/>
        <v>1613055</v>
      </c>
      <c r="AJ74" s="132">
        <f t="shared" si="21"/>
        <v>1613055</v>
      </c>
      <c r="AK74" s="133">
        <f t="shared" si="19"/>
        <v>0</v>
      </c>
      <c r="AL74" s="132"/>
      <c r="AM74" s="133"/>
      <c r="AN74" s="246">
        <v>44841</v>
      </c>
      <c r="AO74" s="137"/>
      <c r="AP74" s="97"/>
      <c r="AQ74" s="97"/>
      <c r="AR74" s="97"/>
      <c r="AS74" s="97"/>
      <c r="AT74" s="97"/>
      <c r="AU74" s="97"/>
      <c r="AV74" s="97"/>
      <c r="AW74" s="97"/>
      <c r="AX74" s="97"/>
      <c r="AY74" s="97"/>
      <c r="AZ74" s="97"/>
      <c r="BA74" s="97"/>
      <c r="BB74" s="97"/>
      <c r="BC74" s="97"/>
      <c r="BD74" s="97"/>
      <c r="BE74" s="97"/>
    </row>
    <row r="75" s="115" customFormat="1" customHeight="1" spans="1:57">
      <c r="A75" s="115" t="s">
        <v>3157</v>
      </c>
      <c r="B75" s="111" t="s">
        <v>3158</v>
      </c>
      <c r="C75" s="554" t="s">
        <v>3159</v>
      </c>
      <c r="D75" s="121" t="s">
        <v>3160</v>
      </c>
      <c r="E75" s="266">
        <v>13803840312</v>
      </c>
      <c r="F75" s="267">
        <v>1</v>
      </c>
      <c r="G75" s="268">
        <v>1732</v>
      </c>
      <c r="H75" s="268">
        <v>18.85</v>
      </c>
      <c r="I75" s="274" t="s">
        <v>2657</v>
      </c>
      <c r="J75" s="113" t="s">
        <v>3161</v>
      </c>
      <c r="K75" s="266">
        <v>19.55</v>
      </c>
      <c r="L75" s="266" t="s">
        <v>3162</v>
      </c>
      <c r="M75" s="275" t="s">
        <v>3163</v>
      </c>
      <c r="N75" s="113" t="s">
        <v>56</v>
      </c>
      <c r="O75" s="113"/>
      <c r="P75" s="113"/>
      <c r="Q75" s="113">
        <v>45398.73</v>
      </c>
      <c r="R75" s="113">
        <v>855766</v>
      </c>
      <c r="S75" s="280">
        <v>855766</v>
      </c>
      <c r="T75" s="281">
        <v>0</v>
      </c>
      <c r="U75" s="280"/>
      <c r="V75" s="280">
        <v>1225</v>
      </c>
      <c r="W75" s="280">
        <v>550</v>
      </c>
      <c r="X75" s="280"/>
      <c r="Y75" s="113" t="s">
        <v>2669</v>
      </c>
      <c r="Z75" s="113" t="s">
        <v>48</v>
      </c>
      <c r="AA75" s="275">
        <v>44087</v>
      </c>
      <c r="AB75" s="113"/>
      <c r="AC75" s="113"/>
      <c r="AD75" s="113"/>
      <c r="AE75" s="133"/>
      <c r="AG75" s="133"/>
      <c r="AH75" s="133"/>
      <c r="AI75" s="132">
        <f t="shared" si="20"/>
        <v>857541</v>
      </c>
      <c r="AJ75" s="132">
        <f t="shared" si="21"/>
        <v>857541</v>
      </c>
      <c r="AK75" s="133">
        <f t="shared" si="19"/>
        <v>0</v>
      </c>
      <c r="AL75" s="132"/>
      <c r="AM75" s="133"/>
      <c r="AN75" s="246">
        <v>44841</v>
      </c>
      <c r="AO75" s="137"/>
      <c r="AP75" s="97"/>
      <c r="AQ75" s="97"/>
      <c r="AR75" s="97"/>
      <c r="AS75" s="97"/>
      <c r="AT75" s="97"/>
      <c r="AU75" s="97"/>
      <c r="AV75" s="97"/>
      <c r="AW75" s="97"/>
      <c r="AX75" s="97"/>
      <c r="AY75" s="97"/>
      <c r="AZ75" s="97"/>
      <c r="BA75" s="97"/>
      <c r="BB75" s="97"/>
      <c r="BC75" s="97"/>
      <c r="BD75" s="97"/>
      <c r="BE75" s="97"/>
    </row>
    <row r="76" s="106" customFormat="1" customHeight="1" spans="1:57">
      <c r="A76" s="106" t="s">
        <v>3164</v>
      </c>
      <c r="B76" s="111" t="s">
        <v>3165</v>
      </c>
      <c r="C76" s="111" t="s">
        <v>3166</v>
      </c>
      <c r="D76" s="121" t="s">
        <v>3167</v>
      </c>
      <c r="E76" s="266">
        <v>15038381797</v>
      </c>
      <c r="F76" s="113">
        <v>1</v>
      </c>
      <c r="G76" s="266">
        <v>1599</v>
      </c>
      <c r="H76" s="266">
        <v>20.92</v>
      </c>
      <c r="I76" s="116" t="s">
        <v>2657</v>
      </c>
      <c r="J76" s="113" t="s">
        <v>3168</v>
      </c>
      <c r="K76" s="266">
        <v>22.66</v>
      </c>
      <c r="L76" s="266">
        <v>43769</v>
      </c>
      <c r="M76" s="275">
        <v>44017</v>
      </c>
      <c r="N76" s="113" t="s">
        <v>66</v>
      </c>
      <c r="O76" s="113"/>
      <c r="P76" s="113"/>
      <c r="Q76" s="113">
        <v>46455.78</v>
      </c>
      <c r="R76" s="113">
        <v>971855</v>
      </c>
      <c r="S76" s="280">
        <v>541855</v>
      </c>
      <c r="T76" s="280">
        <v>430000</v>
      </c>
      <c r="U76" s="280"/>
      <c r="V76" s="280">
        <v>1559</v>
      </c>
      <c r="W76" s="280">
        <v>550</v>
      </c>
      <c r="X76" s="280"/>
      <c r="Y76" s="113"/>
      <c r="Z76" s="113"/>
      <c r="AA76" s="275"/>
      <c r="AB76" s="113"/>
      <c r="AC76" s="113">
        <v>10060</v>
      </c>
      <c r="AD76" s="113"/>
      <c r="AE76" s="129"/>
      <c r="AF76" s="106" t="s">
        <v>208</v>
      </c>
      <c r="AG76" s="129" t="s">
        <v>160</v>
      </c>
      <c r="AH76" s="129"/>
      <c r="AI76" s="289">
        <f t="shared" si="20"/>
        <v>554024</v>
      </c>
      <c r="AJ76" s="289">
        <f t="shared" si="21"/>
        <v>543964</v>
      </c>
      <c r="AK76" s="129">
        <f t="shared" si="19"/>
        <v>10060</v>
      </c>
      <c r="AL76" s="289" t="s">
        <v>3169</v>
      </c>
      <c r="AM76" s="129"/>
      <c r="AN76" s="290">
        <v>44841</v>
      </c>
      <c r="AO76" s="138"/>
      <c r="AP76" s="92"/>
      <c r="AQ76" s="92"/>
      <c r="AR76" s="92"/>
      <c r="AS76" s="92"/>
      <c r="AT76" s="92"/>
      <c r="AU76" s="92"/>
      <c r="AV76" s="92"/>
      <c r="AW76" s="92"/>
      <c r="AX76" s="92"/>
      <c r="AY76" s="92"/>
      <c r="AZ76" s="92"/>
      <c r="BA76" s="92"/>
      <c r="BB76" s="92"/>
      <c r="BC76" s="92"/>
      <c r="BD76" s="92"/>
      <c r="BE76" s="92"/>
    </row>
    <row r="77" s="115" customFormat="1" customHeight="1" spans="1:57">
      <c r="A77" s="115" t="s">
        <v>3170</v>
      </c>
      <c r="B77" s="111" t="s">
        <v>3165</v>
      </c>
      <c r="C77" s="111" t="s">
        <v>3166</v>
      </c>
      <c r="D77" s="121" t="s">
        <v>3167</v>
      </c>
      <c r="E77" s="266">
        <v>15038381797</v>
      </c>
      <c r="F77" s="267">
        <v>1</v>
      </c>
      <c r="G77" s="268">
        <v>1728</v>
      </c>
      <c r="H77" s="268">
        <v>18.85</v>
      </c>
      <c r="I77" s="274" t="s">
        <v>2657</v>
      </c>
      <c r="J77" s="113" t="s">
        <v>3171</v>
      </c>
      <c r="K77" s="266">
        <v>19.55</v>
      </c>
      <c r="L77" s="266">
        <v>43772</v>
      </c>
      <c r="M77" s="275">
        <v>44017</v>
      </c>
      <c r="N77" s="113" t="s">
        <v>66</v>
      </c>
      <c r="O77" s="113"/>
      <c r="P77" s="113"/>
      <c r="Q77" s="113">
        <v>46505.98</v>
      </c>
      <c r="R77" s="113">
        <v>876638</v>
      </c>
      <c r="S77" s="280">
        <v>586638</v>
      </c>
      <c r="T77" s="281">
        <v>290000</v>
      </c>
      <c r="U77" s="280"/>
      <c r="V77" s="280">
        <v>1225</v>
      </c>
      <c r="W77" s="280">
        <v>550</v>
      </c>
      <c r="X77" s="280"/>
      <c r="Y77" s="113"/>
      <c r="Z77" s="113"/>
      <c r="AA77" s="275"/>
      <c r="AB77" s="113"/>
      <c r="AC77" s="113"/>
      <c r="AD77" s="113"/>
      <c r="AE77" s="133"/>
      <c r="AF77" s="115" t="s">
        <v>208</v>
      </c>
      <c r="AG77" s="133" t="s">
        <v>160</v>
      </c>
      <c r="AH77" s="133"/>
      <c r="AI77" s="132">
        <f t="shared" si="20"/>
        <v>588413</v>
      </c>
      <c r="AJ77" s="132">
        <f t="shared" si="21"/>
        <v>588413</v>
      </c>
      <c r="AK77" s="133">
        <f t="shared" si="19"/>
        <v>0</v>
      </c>
      <c r="AL77" s="132"/>
      <c r="AM77" s="133"/>
      <c r="AN77" s="246">
        <v>44841</v>
      </c>
      <c r="AO77" s="137"/>
      <c r="AP77" s="97"/>
      <c r="AQ77" s="97"/>
      <c r="AR77" s="97"/>
      <c r="AS77" s="97"/>
      <c r="AT77" s="97"/>
      <c r="AU77" s="97"/>
      <c r="AV77" s="97"/>
      <c r="AW77" s="97"/>
      <c r="AX77" s="97"/>
      <c r="AY77" s="97"/>
      <c r="AZ77" s="97"/>
      <c r="BA77" s="97"/>
      <c r="BB77" s="97"/>
      <c r="BC77" s="97"/>
      <c r="BD77" s="97"/>
      <c r="BE77" s="97"/>
    </row>
    <row r="78" s="115" customFormat="1" customHeight="1" spans="1:57">
      <c r="A78" s="115" t="s">
        <v>3172</v>
      </c>
      <c r="B78" s="111" t="s">
        <v>3165</v>
      </c>
      <c r="C78" s="111" t="s">
        <v>3166</v>
      </c>
      <c r="D78" s="121" t="s">
        <v>3167</v>
      </c>
      <c r="E78" s="266">
        <v>15038381797</v>
      </c>
      <c r="F78" s="267">
        <v>1</v>
      </c>
      <c r="G78" s="268">
        <v>1759</v>
      </c>
      <c r="H78" s="268">
        <v>17.68</v>
      </c>
      <c r="I78" s="274" t="s">
        <v>2657</v>
      </c>
      <c r="J78" s="113" t="s">
        <v>3173</v>
      </c>
      <c r="K78" s="266">
        <v>18.47</v>
      </c>
      <c r="L78" s="266">
        <v>43772</v>
      </c>
      <c r="M78" s="275">
        <v>44017</v>
      </c>
      <c r="N78" s="113" t="s">
        <v>66</v>
      </c>
      <c r="O78" s="113"/>
      <c r="P78" s="113"/>
      <c r="Q78" s="113">
        <v>46527.34</v>
      </c>
      <c r="R78" s="113">
        <v>822603</v>
      </c>
      <c r="S78" s="280">
        <v>442603</v>
      </c>
      <c r="T78" s="281">
        <v>380000</v>
      </c>
      <c r="U78" s="280"/>
      <c r="V78" s="280">
        <v>1149</v>
      </c>
      <c r="W78" s="280">
        <v>550</v>
      </c>
      <c r="X78" s="280"/>
      <c r="Y78" s="113"/>
      <c r="Z78" s="113"/>
      <c r="AA78" s="275"/>
      <c r="AB78" s="113"/>
      <c r="AC78" s="113"/>
      <c r="AD78" s="113"/>
      <c r="AE78" s="133"/>
      <c r="AF78" s="115" t="s">
        <v>208</v>
      </c>
      <c r="AG78" s="133" t="s">
        <v>160</v>
      </c>
      <c r="AH78" s="133"/>
      <c r="AI78" s="132">
        <f t="shared" ref="AI78:AI86" si="22">S78+U78+V78+W78+X78+AC78+AD78+AE78</f>
        <v>444302</v>
      </c>
      <c r="AJ78" s="132">
        <f t="shared" ref="AJ78:AJ86" si="23">S78+U78+V78+W78+X78</f>
        <v>444302</v>
      </c>
      <c r="AK78" s="133">
        <f t="shared" ref="AK78:AK86" si="24">AI78-AJ78</f>
        <v>0</v>
      </c>
      <c r="AL78" s="132"/>
      <c r="AM78" s="133"/>
      <c r="AN78" s="246">
        <v>44841</v>
      </c>
      <c r="AO78" s="137"/>
      <c r="AP78" s="97"/>
      <c r="AQ78" s="97"/>
      <c r="AR78" s="97"/>
      <c r="AS78" s="97"/>
      <c r="AT78" s="97"/>
      <c r="AU78" s="97"/>
      <c r="AV78" s="97"/>
      <c r="AW78" s="97"/>
      <c r="AX78" s="97"/>
      <c r="AY78" s="97"/>
      <c r="AZ78" s="97"/>
      <c r="BA78" s="97"/>
      <c r="BB78" s="97"/>
      <c r="BC78" s="97"/>
      <c r="BD78" s="97"/>
      <c r="BE78" s="97"/>
    </row>
    <row r="79" s="115" customFormat="1" customHeight="1" spans="1:57">
      <c r="A79" s="115" t="s">
        <v>3174</v>
      </c>
      <c r="B79" s="111" t="s">
        <v>3165</v>
      </c>
      <c r="C79" s="111" t="s">
        <v>3166</v>
      </c>
      <c r="D79" s="121" t="s">
        <v>3167</v>
      </c>
      <c r="E79" s="266">
        <v>15038381797</v>
      </c>
      <c r="F79" s="267">
        <v>1</v>
      </c>
      <c r="G79" s="268">
        <v>1760</v>
      </c>
      <c r="H79" s="268">
        <v>17.68</v>
      </c>
      <c r="I79" s="274" t="s">
        <v>2657</v>
      </c>
      <c r="J79" s="113" t="s">
        <v>3175</v>
      </c>
      <c r="K79" s="266">
        <v>18.47</v>
      </c>
      <c r="L79" s="266">
        <v>43772</v>
      </c>
      <c r="M79" s="275">
        <v>44017</v>
      </c>
      <c r="N79" s="113" t="s">
        <v>66</v>
      </c>
      <c r="O79" s="113"/>
      <c r="P79" s="113"/>
      <c r="Q79" s="113">
        <v>46527.34</v>
      </c>
      <c r="R79" s="113">
        <v>822603</v>
      </c>
      <c r="S79" s="280">
        <v>442603</v>
      </c>
      <c r="T79" s="281">
        <v>380000</v>
      </c>
      <c r="U79" s="280"/>
      <c r="V79" s="280">
        <v>1149</v>
      </c>
      <c r="W79" s="280">
        <v>550</v>
      </c>
      <c r="X79" s="280"/>
      <c r="Y79" s="113"/>
      <c r="Z79" s="113"/>
      <c r="AA79" s="275"/>
      <c r="AB79" s="113"/>
      <c r="AC79" s="113"/>
      <c r="AD79" s="113"/>
      <c r="AE79" s="133"/>
      <c r="AF79" s="115" t="s">
        <v>208</v>
      </c>
      <c r="AG79" s="133" t="s">
        <v>160</v>
      </c>
      <c r="AH79" s="133"/>
      <c r="AI79" s="132">
        <f t="shared" si="22"/>
        <v>444302</v>
      </c>
      <c r="AJ79" s="132">
        <f t="shared" si="23"/>
        <v>444302</v>
      </c>
      <c r="AK79" s="133">
        <f t="shared" si="24"/>
        <v>0</v>
      </c>
      <c r="AL79" s="132"/>
      <c r="AM79" s="133"/>
      <c r="AN79" s="246">
        <v>44841</v>
      </c>
      <c r="AO79" s="137"/>
      <c r="AP79" s="97"/>
      <c r="AQ79" s="97"/>
      <c r="AR79" s="97"/>
      <c r="AS79" s="97"/>
      <c r="AT79" s="97"/>
      <c r="AU79" s="97"/>
      <c r="AV79" s="97"/>
      <c r="AW79" s="97"/>
      <c r="AX79" s="97"/>
      <c r="AY79" s="97"/>
      <c r="AZ79" s="97"/>
      <c r="BA79" s="97"/>
      <c r="BB79" s="97"/>
      <c r="BC79" s="97"/>
      <c r="BD79" s="97"/>
      <c r="BE79" s="97"/>
    </row>
    <row r="80" s="115" customFormat="1" customHeight="1" spans="1:57">
      <c r="A80" s="115" t="s">
        <v>3176</v>
      </c>
      <c r="B80" s="111" t="s">
        <v>3165</v>
      </c>
      <c r="C80" s="554" t="s">
        <v>3177</v>
      </c>
      <c r="D80" s="121" t="s">
        <v>3167</v>
      </c>
      <c r="E80" s="266">
        <v>15038381797</v>
      </c>
      <c r="F80" s="267">
        <v>1</v>
      </c>
      <c r="G80" s="268">
        <v>1761</v>
      </c>
      <c r="H80" s="268">
        <v>17.68</v>
      </c>
      <c r="I80" s="274" t="s">
        <v>2657</v>
      </c>
      <c r="J80" s="113" t="s">
        <v>3178</v>
      </c>
      <c r="K80" s="266">
        <v>18.47</v>
      </c>
      <c r="L80" s="266" t="s">
        <v>3179</v>
      </c>
      <c r="M80" s="275" t="s">
        <v>3163</v>
      </c>
      <c r="N80" s="113" t="s">
        <v>66</v>
      </c>
      <c r="O80" s="113"/>
      <c r="P80" s="113"/>
      <c r="Q80" s="113">
        <v>46527.34</v>
      </c>
      <c r="R80" s="113">
        <v>822603</v>
      </c>
      <c r="S80" s="280">
        <v>442603</v>
      </c>
      <c r="T80" s="281">
        <f t="shared" ref="T80:T94" si="25">R80-S80</f>
        <v>380000</v>
      </c>
      <c r="U80" s="280"/>
      <c r="V80" s="280">
        <v>1149</v>
      </c>
      <c r="W80" s="280">
        <v>550</v>
      </c>
      <c r="X80" s="280"/>
      <c r="Y80" s="113"/>
      <c r="Z80" s="113"/>
      <c r="AA80" s="275"/>
      <c r="AB80" s="113"/>
      <c r="AC80" s="113"/>
      <c r="AD80" s="113"/>
      <c r="AE80" s="133"/>
      <c r="AF80" s="115" t="s">
        <v>237</v>
      </c>
      <c r="AG80" s="133" t="s">
        <v>3180</v>
      </c>
      <c r="AH80" s="133"/>
      <c r="AI80" s="132">
        <f t="shared" si="22"/>
        <v>444302</v>
      </c>
      <c r="AJ80" s="132">
        <f t="shared" si="23"/>
        <v>444302</v>
      </c>
      <c r="AK80" s="133">
        <f t="shared" si="24"/>
        <v>0</v>
      </c>
      <c r="AL80" s="132"/>
      <c r="AM80" s="133"/>
      <c r="AN80" s="246">
        <v>44841</v>
      </c>
      <c r="AO80" s="137"/>
      <c r="AP80" s="97"/>
      <c r="AQ80" s="97"/>
      <c r="AR80" s="97"/>
      <c r="AS80" s="97"/>
      <c r="AT80" s="97"/>
      <c r="AU80" s="97"/>
      <c r="AV80" s="97"/>
      <c r="AW80" s="97"/>
      <c r="AX80" s="97"/>
      <c r="AY80" s="97"/>
      <c r="AZ80" s="97"/>
      <c r="BA80" s="97"/>
      <c r="BB80" s="97"/>
      <c r="BC80" s="97"/>
      <c r="BD80" s="97"/>
      <c r="BE80" s="97"/>
    </row>
    <row r="81" s="115" customFormat="1" customHeight="1" spans="1:57">
      <c r="A81" s="115" t="s">
        <v>3181</v>
      </c>
      <c r="B81" s="111" t="s">
        <v>3165</v>
      </c>
      <c r="C81" s="554" t="s">
        <v>3177</v>
      </c>
      <c r="D81" s="121" t="s">
        <v>3167</v>
      </c>
      <c r="E81" s="266">
        <v>15038381797</v>
      </c>
      <c r="F81" s="267">
        <v>1</v>
      </c>
      <c r="G81" s="268">
        <v>1764</v>
      </c>
      <c r="H81" s="268">
        <v>17.68</v>
      </c>
      <c r="I81" s="274" t="s">
        <v>2657</v>
      </c>
      <c r="J81" s="113" t="s">
        <v>3182</v>
      </c>
      <c r="K81" s="266">
        <v>18.47</v>
      </c>
      <c r="L81" s="266" t="s">
        <v>3179</v>
      </c>
      <c r="M81" s="275" t="s">
        <v>3163</v>
      </c>
      <c r="N81" s="113" t="s">
        <v>66</v>
      </c>
      <c r="O81" s="113"/>
      <c r="P81" s="113"/>
      <c r="Q81" s="113">
        <v>46527.34</v>
      </c>
      <c r="R81" s="113">
        <v>822603</v>
      </c>
      <c r="S81" s="280">
        <v>442603</v>
      </c>
      <c r="T81" s="281">
        <f t="shared" si="25"/>
        <v>380000</v>
      </c>
      <c r="U81" s="280"/>
      <c r="V81" s="280">
        <v>1149</v>
      </c>
      <c r="W81" s="280">
        <v>550</v>
      </c>
      <c r="X81" s="280"/>
      <c r="Y81" s="113"/>
      <c r="Z81" s="113"/>
      <c r="AA81" s="275"/>
      <c r="AB81" s="113"/>
      <c r="AC81" s="113"/>
      <c r="AD81" s="113"/>
      <c r="AE81" s="133"/>
      <c r="AF81" s="115" t="s">
        <v>237</v>
      </c>
      <c r="AG81" s="133"/>
      <c r="AH81" s="133"/>
      <c r="AI81" s="132">
        <f t="shared" si="22"/>
        <v>444302</v>
      </c>
      <c r="AJ81" s="132">
        <f t="shared" si="23"/>
        <v>444302</v>
      </c>
      <c r="AK81" s="133">
        <f t="shared" si="24"/>
        <v>0</v>
      </c>
      <c r="AL81" s="132"/>
      <c r="AM81" s="133"/>
      <c r="AN81" s="246">
        <v>44841</v>
      </c>
      <c r="AO81" s="137"/>
      <c r="AP81" s="97"/>
      <c r="AQ81" s="97"/>
      <c r="AR81" s="97"/>
      <c r="AS81" s="97"/>
      <c r="AT81" s="97"/>
      <c r="AU81" s="97"/>
      <c r="AV81" s="97"/>
      <c r="AW81" s="97"/>
      <c r="AX81" s="97"/>
      <c r="AY81" s="97"/>
      <c r="AZ81" s="97"/>
      <c r="BA81" s="97"/>
      <c r="BB81" s="97"/>
      <c r="BC81" s="97"/>
      <c r="BD81" s="97"/>
      <c r="BE81" s="97"/>
    </row>
    <row r="82" s="115" customFormat="1" customHeight="1" spans="1:57">
      <c r="A82" s="115" t="s">
        <v>3183</v>
      </c>
      <c r="B82" s="111" t="s">
        <v>3165</v>
      </c>
      <c r="C82" s="554" t="s">
        <v>3177</v>
      </c>
      <c r="D82" s="121" t="s">
        <v>3167</v>
      </c>
      <c r="E82" s="266">
        <v>15038381797</v>
      </c>
      <c r="F82" s="267">
        <v>1</v>
      </c>
      <c r="G82" s="268">
        <v>1763</v>
      </c>
      <c r="H82" s="268">
        <v>17.68</v>
      </c>
      <c r="I82" s="274" t="s">
        <v>2657</v>
      </c>
      <c r="J82" s="113" t="s">
        <v>3184</v>
      </c>
      <c r="K82" s="266">
        <v>18.47</v>
      </c>
      <c r="L82" s="266" t="s">
        <v>3179</v>
      </c>
      <c r="M82" s="275" t="s">
        <v>3163</v>
      </c>
      <c r="N82" s="113" t="s">
        <v>66</v>
      </c>
      <c r="O82" s="113"/>
      <c r="P82" s="113"/>
      <c r="Q82" s="113">
        <v>46527.34</v>
      </c>
      <c r="R82" s="113">
        <v>822603</v>
      </c>
      <c r="S82" s="280">
        <v>442603</v>
      </c>
      <c r="T82" s="281">
        <f t="shared" si="25"/>
        <v>380000</v>
      </c>
      <c r="U82" s="280"/>
      <c r="V82" s="280">
        <v>1149</v>
      </c>
      <c r="W82" s="280">
        <v>550</v>
      </c>
      <c r="X82" s="280"/>
      <c r="Y82" s="113"/>
      <c r="Z82" s="113"/>
      <c r="AA82" s="275"/>
      <c r="AB82" s="113"/>
      <c r="AC82" s="113"/>
      <c r="AD82" s="113"/>
      <c r="AE82" s="133"/>
      <c r="AF82" s="115" t="s">
        <v>237</v>
      </c>
      <c r="AG82" s="133"/>
      <c r="AH82" s="133"/>
      <c r="AI82" s="132">
        <f t="shared" si="22"/>
        <v>444302</v>
      </c>
      <c r="AJ82" s="132">
        <f t="shared" si="23"/>
        <v>444302</v>
      </c>
      <c r="AK82" s="133">
        <f t="shared" si="24"/>
        <v>0</v>
      </c>
      <c r="AL82" s="132"/>
      <c r="AM82" s="133"/>
      <c r="AN82" s="246">
        <v>44841</v>
      </c>
      <c r="AO82" s="137"/>
      <c r="AP82" s="97"/>
      <c r="AQ82" s="97"/>
      <c r="AR82" s="97"/>
      <c r="AS82" s="97"/>
      <c r="AT82" s="97"/>
      <c r="AU82" s="97"/>
      <c r="AV82" s="97"/>
      <c r="AW82" s="97"/>
      <c r="AX82" s="97"/>
      <c r="AY82" s="97"/>
      <c r="AZ82" s="97"/>
      <c r="BA82" s="97"/>
      <c r="BB82" s="97"/>
      <c r="BC82" s="97"/>
      <c r="BD82" s="97"/>
      <c r="BE82" s="97"/>
    </row>
    <row r="83" s="115" customFormat="1" customHeight="1" spans="1:57">
      <c r="A83" s="115" t="s">
        <v>3185</v>
      </c>
      <c r="B83" s="111" t="s">
        <v>3165</v>
      </c>
      <c r="C83" s="554" t="s">
        <v>3177</v>
      </c>
      <c r="D83" s="121" t="s">
        <v>3167</v>
      </c>
      <c r="E83" s="266">
        <v>15038381797</v>
      </c>
      <c r="F83" s="267">
        <v>1</v>
      </c>
      <c r="G83" s="268">
        <v>1762</v>
      </c>
      <c r="H83" s="268">
        <v>17.68</v>
      </c>
      <c r="I83" s="274" t="s">
        <v>2657</v>
      </c>
      <c r="J83" s="113" t="s">
        <v>3186</v>
      </c>
      <c r="K83" s="266">
        <v>18.47</v>
      </c>
      <c r="L83" s="266" t="s">
        <v>3179</v>
      </c>
      <c r="M83" s="275" t="s">
        <v>3163</v>
      </c>
      <c r="N83" s="113" t="s">
        <v>66</v>
      </c>
      <c r="O83" s="113"/>
      <c r="P83" s="113"/>
      <c r="Q83" s="113">
        <v>46527.34</v>
      </c>
      <c r="R83" s="113">
        <v>822603</v>
      </c>
      <c r="S83" s="280">
        <v>442603</v>
      </c>
      <c r="T83" s="281">
        <f t="shared" si="25"/>
        <v>380000</v>
      </c>
      <c r="U83" s="280"/>
      <c r="V83" s="280">
        <v>1149</v>
      </c>
      <c r="W83" s="280">
        <v>550</v>
      </c>
      <c r="X83" s="280"/>
      <c r="Y83" s="113"/>
      <c r="Z83" s="113"/>
      <c r="AA83" s="275"/>
      <c r="AB83" s="113"/>
      <c r="AC83" s="113"/>
      <c r="AD83" s="113"/>
      <c r="AE83" s="133"/>
      <c r="AF83" s="115" t="s">
        <v>237</v>
      </c>
      <c r="AG83" s="133"/>
      <c r="AH83" s="133"/>
      <c r="AI83" s="132">
        <f t="shared" ref="AI83:AI93" si="26">S83+U83+V83+W83+X83+AC83+AD83+AE83</f>
        <v>444302</v>
      </c>
      <c r="AJ83" s="132">
        <f t="shared" ref="AJ83:AJ93" si="27">S83+U83+V83+W83+X83</f>
        <v>444302</v>
      </c>
      <c r="AK83" s="133">
        <f t="shared" ref="AK83:AK93" si="28">AI83-AJ83</f>
        <v>0</v>
      </c>
      <c r="AL83" s="132"/>
      <c r="AM83" s="133"/>
      <c r="AN83" s="246">
        <v>44841</v>
      </c>
      <c r="AO83" s="137"/>
      <c r="AP83" s="97"/>
      <c r="AQ83" s="97"/>
      <c r="AR83" s="97"/>
      <c r="AS83" s="97"/>
      <c r="AT83" s="97"/>
      <c r="AU83" s="97"/>
      <c r="AV83" s="97"/>
      <c r="AW83" s="97"/>
      <c r="AX83" s="97"/>
      <c r="AY83" s="97"/>
      <c r="AZ83" s="97"/>
      <c r="BA83" s="97"/>
      <c r="BB83" s="97"/>
      <c r="BC83" s="97"/>
      <c r="BD83" s="97"/>
      <c r="BE83" s="97"/>
    </row>
    <row r="84" s="115" customFormat="1" customHeight="1" spans="1:57">
      <c r="A84" s="115" t="s">
        <v>3187</v>
      </c>
      <c r="B84" s="111" t="s">
        <v>3188</v>
      </c>
      <c r="C84" s="554" t="s">
        <v>3189</v>
      </c>
      <c r="D84" s="121" t="s">
        <v>3190</v>
      </c>
      <c r="E84" s="266">
        <v>13837185996</v>
      </c>
      <c r="F84" s="267">
        <v>4</v>
      </c>
      <c r="G84" s="268">
        <v>4101</v>
      </c>
      <c r="H84" s="268">
        <v>23.66</v>
      </c>
      <c r="I84" s="274" t="s">
        <v>2665</v>
      </c>
      <c r="J84" s="113" t="s">
        <v>3191</v>
      </c>
      <c r="K84" s="266">
        <v>24.55</v>
      </c>
      <c r="L84" s="266" t="s">
        <v>2793</v>
      </c>
      <c r="M84" s="275" t="s">
        <v>3192</v>
      </c>
      <c r="N84" s="113" t="s">
        <v>56</v>
      </c>
      <c r="O84" s="113"/>
      <c r="P84" s="113"/>
      <c r="Q84" s="113">
        <v>19762.26</v>
      </c>
      <c r="R84" s="113">
        <v>467575</v>
      </c>
      <c r="S84" s="280">
        <v>467575</v>
      </c>
      <c r="T84" s="281">
        <f t="shared" si="25"/>
        <v>0</v>
      </c>
      <c r="U84" s="280"/>
      <c r="V84" s="280">
        <v>1537</v>
      </c>
      <c r="W84" s="280">
        <v>550</v>
      </c>
      <c r="X84" s="280">
        <v>15501</v>
      </c>
      <c r="Y84" s="113" t="s">
        <v>2669</v>
      </c>
      <c r="Z84" s="113" t="s">
        <v>48</v>
      </c>
      <c r="AA84" s="275">
        <v>44089</v>
      </c>
      <c r="AB84" s="113"/>
      <c r="AC84" s="113"/>
      <c r="AD84" s="113"/>
      <c r="AE84" s="133"/>
      <c r="AG84" s="133"/>
      <c r="AH84" s="133"/>
      <c r="AI84" s="132">
        <f t="shared" si="26"/>
        <v>485163</v>
      </c>
      <c r="AJ84" s="132">
        <f t="shared" si="27"/>
        <v>485163</v>
      </c>
      <c r="AK84" s="133">
        <f t="shared" si="28"/>
        <v>0</v>
      </c>
      <c r="AL84" s="132"/>
      <c r="AM84" s="133"/>
      <c r="AN84" s="246">
        <v>44841</v>
      </c>
      <c r="AO84" s="137"/>
      <c r="AP84" s="97"/>
      <c r="AQ84" s="97"/>
      <c r="AR84" s="97"/>
      <c r="AS84" s="97"/>
      <c r="AT84" s="97"/>
      <c r="AU84" s="97"/>
      <c r="AV84" s="97"/>
      <c r="AW84" s="97"/>
      <c r="AX84" s="97"/>
      <c r="AY84" s="97"/>
      <c r="AZ84" s="97"/>
      <c r="BA84" s="97"/>
      <c r="BB84" s="97"/>
      <c r="BC84" s="97"/>
      <c r="BD84" s="97"/>
      <c r="BE84" s="97"/>
    </row>
    <row r="85" s="115" customFormat="1" customHeight="1" spans="1:57">
      <c r="A85" s="115" t="s">
        <v>3193</v>
      </c>
      <c r="B85" s="111" t="s">
        <v>3194</v>
      </c>
      <c r="C85" s="111" t="s">
        <v>3195</v>
      </c>
      <c r="D85" s="121" t="s">
        <v>3196</v>
      </c>
      <c r="E85" s="266">
        <v>15238025218</v>
      </c>
      <c r="F85" s="267">
        <v>1</v>
      </c>
      <c r="G85" s="268">
        <v>1605</v>
      </c>
      <c r="H85" s="268">
        <v>17.38</v>
      </c>
      <c r="I85" s="274" t="s">
        <v>2657</v>
      </c>
      <c r="J85" s="113" t="s">
        <v>3197</v>
      </c>
      <c r="K85" s="266">
        <v>17.76</v>
      </c>
      <c r="L85" s="266" t="s">
        <v>2961</v>
      </c>
      <c r="M85" s="275" t="s">
        <v>2961</v>
      </c>
      <c r="N85" s="113" t="s">
        <v>66</v>
      </c>
      <c r="O85" s="113"/>
      <c r="P85" s="113"/>
      <c r="Q85" s="113">
        <v>47297.3</v>
      </c>
      <c r="R85" s="113">
        <v>840000</v>
      </c>
      <c r="S85" s="280">
        <v>420000</v>
      </c>
      <c r="T85" s="281">
        <f t="shared" si="25"/>
        <v>420000</v>
      </c>
      <c r="U85" s="280"/>
      <c r="V85" s="280"/>
      <c r="W85" s="280"/>
      <c r="X85" s="280"/>
      <c r="Y85" s="113"/>
      <c r="Z85" s="113"/>
      <c r="AA85" s="275"/>
      <c r="AB85" s="113" t="s">
        <v>3198</v>
      </c>
      <c r="AC85" s="113"/>
      <c r="AD85" s="113"/>
      <c r="AE85" s="133"/>
      <c r="AF85" s="115" t="s">
        <v>237</v>
      </c>
      <c r="AG85" s="133" t="s">
        <v>3199</v>
      </c>
      <c r="AH85" s="133"/>
      <c r="AI85" s="132">
        <f t="shared" si="26"/>
        <v>420000</v>
      </c>
      <c r="AJ85" s="132">
        <f t="shared" si="27"/>
        <v>420000</v>
      </c>
      <c r="AK85" s="133">
        <f t="shared" si="28"/>
        <v>0</v>
      </c>
      <c r="AL85" s="132"/>
      <c r="AM85" s="133"/>
      <c r="AN85" s="246">
        <v>44841</v>
      </c>
      <c r="AO85" s="137"/>
      <c r="AP85" s="97"/>
      <c r="AQ85" s="97"/>
      <c r="AR85" s="97"/>
      <c r="AS85" s="97"/>
      <c r="AT85" s="97"/>
      <c r="AU85" s="97"/>
      <c r="AV85" s="97"/>
      <c r="AW85" s="97"/>
      <c r="AX85" s="97"/>
      <c r="AY85" s="97"/>
      <c r="AZ85" s="97"/>
      <c r="BA85" s="97"/>
      <c r="BB85" s="97"/>
      <c r="BC85" s="97"/>
      <c r="BD85" s="97"/>
      <c r="BE85" s="97"/>
    </row>
    <row r="86" s="115" customFormat="1" customHeight="1" spans="1:57">
      <c r="A86" s="115" t="s">
        <v>3200</v>
      </c>
      <c r="B86" s="111" t="s">
        <v>3201</v>
      </c>
      <c r="C86" s="111" t="s">
        <v>3202</v>
      </c>
      <c r="D86" s="121" t="s">
        <v>3203</v>
      </c>
      <c r="E86" s="266">
        <v>18839047815</v>
      </c>
      <c r="F86" s="267">
        <v>4</v>
      </c>
      <c r="G86" s="268">
        <v>4446</v>
      </c>
      <c r="H86" s="268">
        <v>7.42</v>
      </c>
      <c r="I86" s="274" t="s">
        <v>2657</v>
      </c>
      <c r="J86" s="113" t="s">
        <v>3204</v>
      </c>
      <c r="K86" s="266">
        <v>7.95</v>
      </c>
      <c r="L86" s="266" t="s">
        <v>3205</v>
      </c>
      <c r="M86" s="275" t="s">
        <v>2814</v>
      </c>
      <c r="N86" s="113" t="s">
        <v>56</v>
      </c>
      <c r="O86" s="113"/>
      <c r="P86" s="113"/>
      <c r="Q86" s="113">
        <v>28198.79</v>
      </c>
      <c r="R86" s="113">
        <v>209235</v>
      </c>
      <c r="S86" s="280">
        <v>209235</v>
      </c>
      <c r="T86" s="281">
        <f t="shared" si="25"/>
        <v>0</v>
      </c>
      <c r="U86" s="280"/>
      <c r="V86" s="280">
        <v>482</v>
      </c>
      <c r="W86" s="280">
        <v>550</v>
      </c>
      <c r="X86" s="280"/>
      <c r="Y86" s="113" t="s">
        <v>2669</v>
      </c>
      <c r="Z86" s="113"/>
      <c r="AA86" s="275"/>
      <c r="AB86" s="113"/>
      <c r="AC86" s="113"/>
      <c r="AD86" s="113"/>
      <c r="AE86" s="133"/>
      <c r="AG86" s="133"/>
      <c r="AH86" s="133"/>
      <c r="AI86" s="132">
        <f t="shared" si="26"/>
        <v>210267</v>
      </c>
      <c r="AJ86" s="132">
        <f t="shared" si="27"/>
        <v>210267</v>
      </c>
      <c r="AK86" s="133">
        <f t="shared" si="28"/>
        <v>0</v>
      </c>
      <c r="AL86" s="132"/>
      <c r="AM86" s="133"/>
      <c r="AN86" s="246">
        <v>44841</v>
      </c>
      <c r="AO86" s="137"/>
      <c r="AP86" s="97"/>
      <c r="AQ86" s="97"/>
      <c r="AR86" s="97"/>
      <c r="AS86" s="97"/>
      <c r="AT86" s="97"/>
      <c r="AU86" s="97"/>
      <c r="AV86" s="97"/>
      <c r="AW86" s="97"/>
      <c r="AX86" s="97"/>
      <c r="AY86" s="97"/>
      <c r="AZ86" s="97"/>
      <c r="BA86" s="97"/>
      <c r="BB86" s="97"/>
      <c r="BC86" s="97"/>
      <c r="BD86" s="97"/>
      <c r="BE86" s="97"/>
    </row>
    <row r="87" s="115" customFormat="1" customHeight="1" spans="1:57">
      <c r="A87" s="115" t="s">
        <v>3206</v>
      </c>
      <c r="B87" s="111" t="s">
        <v>3207</v>
      </c>
      <c r="C87" s="111" t="s">
        <v>3208</v>
      </c>
      <c r="D87" s="121" t="s">
        <v>3209</v>
      </c>
      <c r="E87" s="266">
        <v>18003836380</v>
      </c>
      <c r="F87" s="267">
        <v>3</v>
      </c>
      <c r="G87" s="268">
        <v>3271</v>
      </c>
      <c r="H87" s="268">
        <v>17.39</v>
      </c>
      <c r="I87" s="274" t="s">
        <v>2657</v>
      </c>
      <c r="J87" s="113" t="s">
        <v>3210</v>
      </c>
      <c r="K87" s="266">
        <v>17.24</v>
      </c>
      <c r="L87" s="266" t="s">
        <v>3060</v>
      </c>
      <c r="M87" s="275" t="s">
        <v>3211</v>
      </c>
      <c r="N87" s="113" t="s">
        <v>66</v>
      </c>
      <c r="O87" s="113"/>
      <c r="P87" s="113"/>
      <c r="Q87" s="113">
        <v>31622.33</v>
      </c>
      <c r="R87" s="113">
        <v>549912</v>
      </c>
      <c r="S87" s="280">
        <v>279912</v>
      </c>
      <c r="T87" s="281">
        <f t="shared" si="25"/>
        <v>270000</v>
      </c>
      <c r="U87" s="280"/>
      <c r="V87" s="280">
        <v>1130</v>
      </c>
      <c r="W87" s="280">
        <v>550</v>
      </c>
      <c r="X87" s="280"/>
      <c r="Y87" s="113" t="s">
        <v>2669</v>
      </c>
      <c r="Z87" s="113"/>
      <c r="AA87" s="275"/>
      <c r="AB87" s="113" t="s">
        <v>3212</v>
      </c>
      <c r="AC87" s="113">
        <f>1000+220+27</f>
        <v>1247</v>
      </c>
      <c r="AD87" s="113"/>
      <c r="AE87" s="133"/>
      <c r="AG87" s="133"/>
      <c r="AH87" s="133"/>
      <c r="AI87" s="132">
        <f t="shared" si="26"/>
        <v>282839</v>
      </c>
      <c r="AJ87" s="132">
        <f t="shared" si="27"/>
        <v>281592</v>
      </c>
      <c r="AK87" s="133">
        <f t="shared" si="28"/>
        <v>1247</v>
      </c>
      <c r="AL87" s="132"/>
      <c r="AM87" s="133"/>
      <c r="AN87" s="246">
        <v>44841</v>
      </c>
      <c r="AO87" s="137"/>
      <c r="AP87" s="97"/>
      <c r="AQ87" s="97"/>
      <c r="AR87" s="97"/>
      <c r="AS87" s="97"/>
      <c r="AT87" s="97"/>
      <c r="AU87" s="97"/>
      <c r="AV87" s="97"/>
      <c r="AW87" s="97"/>
      <c r="AX87" s="97"/>
      <c r="AY87" s="97"/>
      <c r="AZ87" s="97"/>
      <c r="BA87" s="97"/>
      <c r="BB87" s="97"/>
      <c r="BC87" s="97"/>
      <c r="BD87" s="97"/>
      <c r="BE87" s="97"/>
    </row>
    <row r="88" s="115" customFormat="1" customHeight="1" spans="1:57">
      <c r="A88" s="115" t="s">
        <v>3213</v>
      </c>
      <c r="B88" s="111" t="s">
        <v>3214</v>
      </c>
      <c r="C88" s="554" t="s">
        <v>3215</v>
      </c>
      <c r="D88" s="121" t="s">
        <v>3216</v>
      </c>
      <c r="E88" s="266">
        <v>18336915770</v>
      </c>
      <c r="F88" s="267">
        <v>4</v>
      </c>
      <c r="G88" s="268">
        <v>4487</v>
      </c>
      <c r="H88" s="268">
        <v>16.53</v>
      </c>
      <c r="I88" s="274" t="s">
        <v>2657</v>
      </c>
      <c r="J88" s="113" t="s">
        <v>3217</v>
      </c>
      <c r="K88" s="266">
        <v>15.4</v>
      </c>
      <c r="L88" s="266" t="s">
        <v>3218</v>
      </c>
      <c r="M88" s="275" t="s">
        <v>3219</v>
      </c>
      <c r="N88" s="113" t="s">
        <v>66</v>
      </c>
      <c r="O88" s="113"/>
      <c r="P88" s="113"/>
      <c r="Q88" s="113">
        <v>27171.43</v>
      </c>
      <c r="R88" s="113">
        <v>449144</v>
      </c>
      <c r="S88" s="280">
        <v>229144</v>
      </c>
      <c r="T88" s="281">
        <f t="shared" si="25"/>
        <v>220000</v>
      </c>
      <c r="U88" s="280"/>
      <c r="V88" s="280">
        <v>1074</v>
      </c>
      <c r="W88" s="280">
        <v>550</v>
      </c>
      <c r="X88" s="280"/>
      <c r="Y88" s="113"/>
      <c r="Z88" s="113"/>
      <c r="AA88" s="275"/>
      <c r="AB88" s="113"/>
      <c r="AC88" s="113">
        <v>1242</v>
      </c>
      <c r="AD88" s="113"/>
      <c r="AE88" s="133"/>
      <c r="AG88" s="133"/>
      <c r="AH88" s="133"/>
      <c r="AI88" s="132">
        <f t="shared" si="26"/>
        <v>232010</v>
      </c>
      <c r="AJ88" s="132">
        <f t="shared" si="27"/>
        <v>230768</v>
      </c>
      <c r="AK88" s="133">
        <f t="shared" si="28"/>
        <v>1242</v>
      </c>
      <c r="AL88" s="132"/>
      <c r="AM88" s="133"/>
      <c r="AN88" s="246">
        <v>44841</v>
      </c>
      <c r="AO88" s="137"/>
      <c r="AP88" s="97"/>
      <c r="AQ88" s="97"/>
      <c r="AR88" s="97"/>
      <c r="AS88" s="97"/>
      <c r="AT88" s="97"/>
      <c r="AU88" s="97"/>
      <c r="AV88" s="97"/>
      <c r="AW88" s="97"/>
      <c r="AX88" s="97"/>
      <c r="AY88" s="97"/>
      <c r="AZ88" s="97"/>
      <c r="BA88" s="97"/>
      <c r="BB88" s="97"/>
      <c r="BC88" s="97"/>
      <c r="BD88" s="97"/>
      <c r="BE88" s="97"/>
    </row>
    <row r="89" s="115" customFormat="1" customHeight="1" spans="1:57">
      <c r="A89" s="115" t="s">
        <v>3220</v>
      </c>
      <c r="B89" s="111" t="s">
        <v>3221</v>
      </c>
      <c r="C89" s="111" t="s">
        <v>3222</v>
      </c>
      <c r="D89" s="121" t="s">
        <v>3223</v>
      </c>
      <c r="E89" s="266">
        <v>13937428886</v>
      </c>
      <c r="F89" s="267">
        <v>3</v>
      </c>
      <c r="G89" s="268">
        <v>3344</v>
      </c>
      <c r="H89" s="268">
        <v>24.16</v>
      </c>
      <c r="I89" s="274" t="s">
        <v>2657</v>
      </c>
      <c r="J89" s="113" t="s">
        <v>3224</v>
      </c>
      <c r="K89" s="266">
        <v>23.32</v>
      </c>
      <c r="L89" s="266" t="s">
        <v>3131</v>
      </c>
      <c r="M89" s="275" t="s">
        <v>3042</v>
      </c>
      <c r="N89" s="113" t="s">
        <v>66</v>
      </c>
      <c r="O89" s="113"/>
      <c r="P89" s="113"/>
      <c r="Q89" s="113">
        <v>31690.82</v>
      </c>
      <c r="R89" s="113">
        <v>739030</v>
      </c>
      <c r="S89" s="280">
        <v>379030</v>
      </c>
      <c r="T89" s="281">
        <f t="shared" si="25"/>
        <v>360000</v>
      </c>
      <c r="U89" s="280"/>
      <c r="V89" s="280"/>
      <c r="W89" s="280"/>
      <c r="X89" s="280"/>
      <c r="Y89" s="113"/>
      <c r="Z89" s="113"/>
      <c r="AA89" s="275"/>
      <c r="AB89" s="113"/>
      <c r="AC89" s="113">
        <v>5000</v>
      </c>
      <c r="AD89" s="113"/>
      <c r="AE89" s="133"/>
      <c r="AG89" s="133"/>
      <c r="AH89" s="133"/>
      <c r="AI89" s="132">
        <f t="shared" si="26"/>
        <v>384030</v>
      </c>
      <c r="AJ89" s="132">
        <f t="shared" si="27"/>
        <v>379030</v>
      </c>
      <c r="AK89" s="133">
        <f t="shared" si="28"/>
        <v>5000</v>
      </c>
      <c r="AL89" s="132"/>
      <c r="AM89" s="133"/>
      <c r="AN89" s="246">
        <v>44841</v>
      </c>
      <c r="AO89" s="137"/>
      <c r="AP89" s="97"/>
      <c r="AQ89" s="97"/>
      <c r="AR89" s="97"/>
      <c r="AS89" s="97"/>
      <c r="AT89" s="97"/>
      <c r="AU89" s="97"/>
      <c r="AV89" s="97"/>
      <c r="AW89" s="97"/>
      <c r="AX89" s="97"/>
      <c r="AY89" s="97"/>
      <c r="AZ89" s="97"/>
      <c r="BA89" s="97"/>
      <c r="BB89" s="97"/>
      <c r="BC89" s="97"/>
      <c r="BD89" s="97"/>
      <c r="BE89" s="97"/>
    </row>
    <row r="90" s="115" customFormat="1" customHeight="1" spans="1:57">
      <c r="A90" s="115" t="s">
        <v>3225</v>
      </c>
      <c r="B90" s="111" t="s">
        <v>3226</v>
      </c>
      <c r="C90" s="111" t="s">
        <v>3227</v>
      </c>
      <c r="D90" s="121" t="s">
        <v>3228</v>
      </c>
      <c r="E90" s="266">
        <v>15890697866</v>
      </c>
      <c r="F90" s="267">
        <v>3</v>
      </c>
      <c r="G90" s="268">
        <v>3965</v>
      </c>
      <c r="H90" s="268">
        <v>20.01</v>
      </c>
      <c r="I90" s="274" t="s">
        <v>2657</v>
      </c>
      <c r="J90" s="113" t="s">
        <v>3229</v>
      </c>
      <c r="K90" s="266">
        <v>22.89</v>
      </c>
      <c r="L90" s="266" t="s">
        <v>3230</v>
      </c>
      <c r="M90" s="275" t="s">
        <v>3231</v>
      </c>
      <c r="N90" s="113" t="s">
        <v>66</v>
      </c>
      <c r="O90" s="113"/>
      <c r="P90" s="113"/>
      <c r="Q90" s="113">
        <v>31376.58</v>
      </c>
      <c r="R90" s="113">
        <v>627845</v>
      </c>
      <c r="S90" s="280">
        <v>377845</v>
      </c>
      <c r="T90" s="281">
        <f t="shared" si="25"/>
        <v>250000</v>
      </c>
      <c r="U90" s="280"/>
      <c r="V90" s="280">
        <v>1300</v>
      </c>
      <c r="W90" s="280">
        <v>550</v>
      </c>
      <c r="X90" s="280"/>
      <c r="Y90" s="113"/>
      <c r="Z90" s="113"/>
      <c r="AA90" s="275"/>
      <c r="AB90" s="113"/>
      <c r="AC90" s="113"/>
      <c r="AD90" s="113"/>
      <c r="AE90" s="133"/>
      <c r="AG90" s="133"/>
      <c r="AH90" s="133"/>
      <c r="AI90" s="132">
        <f t="shared" si="26"/>
        <v>379695</v>
      </c>
      <c r="AJ90" s="132">
        <f t="shared" si="27"/>
        <v>379695</v>
      </c>
      <c r="AK90" s="133">
        <f t="shared" si="28"/>
        <v>0</v>
      </c>
      <c r="AL90" s="132"/>
      <c r="AM90" s="133"/>
      <c r="AN90" s="246">
        <v>44841</v>
      </c>
      <c r="AO90" s="137"/>
      <c r="AP90" s="97"/>
      <c r="AQ90" s="97"/>
      <c r="AR90" s="97"/>
      <c r="AS90" s="97"/>
      <c r="AT90" s="97"/>
      <c r="AU90" s="97"/>
      <c r="AV90" s="97"/>
      <c r="AW90" s="97"/>
      <c r="AX90" s="97"/>
      <c r="AY90" s="97"/>
      <c r="AZ90" s="97"/>
      <c r="BA90" s="97"/>
      <c r="BB90" s="97"/>
      <c r="BC90" s="97"/>
      <c r="BD90" s="97"/>
      <c r="BE90" s="97"/>
    </row>
    <row r="91" s="115" customFormat="1" customHeight="1" spans="1:57">
      <c r="A91" s="115" t="s">
        <v>3232</v>
      </c>
      <c r="B91" s="111" t="s">
        <v>3233</v>
      </c>
      <c r="C91" s="111" t="s">
        <v>3234</v>
      </c>
      <c r="D91" s="121" t="s">
        <v>3235</v>
      </c>
      <c r="E91" s="266">
        <v>18625579308</v>
      </c>
      <c r="F91" s="267">
        <v>4</v>
      </c>
      <c r="G91" s="268">
        <v>4399</v>
      </c>
      <c r="H91" s="268">
        <v>12.27</v>
      </c>
      <c r="I91" s="274" t="s">
        <v>2657</v>
      </c>
      <c r="J91" s="113" t="s">
        <v>3236</v>
      </c>
      <c r="K91" s="266">
        <v>22.25</v>
      </c>
      <c r="L91" s="266" t="s">
        <v>2762</v>
      </c>
      <c r="M91" s="275" t="s">
        <v>2814</v>
      </c>
      <c r="N91" s="113" t="s">
        <v>56</v>
      </c>
      <c r="O91" s="113"/>
      <c r="P91" s="113"/>
      <c r="Q91" s="113">
        <v>29012.31</v>
      </c>
      <c r="R91" s="113">
        <v>355981</v>
      </c>
      <c r="S91" s="280">
        <v>355981</v>
      </c>
      <c r="T91" s="281">
        <f t="shared" si="25"/>
        <v>0</v>
      </c>
      <c r="U91" s="280"/>
      <c r="V91" s="280">
        <v>797</v>
      </c>
      <c r="W91" s="280">
        <v>550</v>
      </c>
      <c r="X91" s="280"/>
      <c r="Y91" s="113" t="s">
        <v>2669</v>
      </c>
      <c r="Z91" s="113" t="s">
        <v>48</v>
      </c>
      <c r="AA91" s="275">
        <v>44023</v>
      </c>
      <c r="AB91" s="113"/>
      <c r="AC91" s="113"/>
      <c r="AD91" s="113"/>
      <c r="AE91" s="133"/>
      <c r="AF91" s="115" t="s">
        <v>237</v>
      </c>
      <c r="AG91" s="133" t="s">
        <v>3237</v>
      </c>
      <c r="AH91" s="133"/>
      <c r="AI91" s="132">
        <f t="shared" si="26"/>
        <v>357328</v>
      </c>
      <c r="AJ91" s="132">
        <f t="shared" si="27"/>
        <v>357328</v>
      </c>
      <c r="AK91" s="133">
        <f t="shared" si="28"/>
        <v>0</v>
      </c>
      <c r="AL91" s="132"/>
      <c r="AM91" s="133"/>
      <c r="AN91" s="246">
        <v>44841</v>
      </c>
      <c r="AO91" s="137"/>
      <c r="AP91" s="97"/>
      <c r="AQ91" s="97"/>
      <c r="AR91" s="97"/>
      <c r="AS91" s="97"/>
      <c r="AT91" s="97"/>
      <c r="AU91" s="97"/>
      <c r="AV91" s="97"/>
      <c r="AW91" s="97"/>
      <c r="AX91" s="97"/>
      <c r="AY91" s="97"/>
      <c r="AZ91" s="97"/>
      <c r="BA91" s="97"/>
      <c r="BB91" s="97"/>
      <c r="BC91" s="97"/>
      <c r="BD91" s="97"/>
      <c r="BE91" s="97"/>
    </row>
    <row r="92" s="115" customFormat="1" customHeight="1" spans="1:57">
      <c r="A92" s="115" t="s">
        <v>3238</v>
      </c>
      <c r="B92" s="111" t="s">
        <v>3239</v>
      </c>
      <c r="C92" s="111" t="s">
        <v>3240</v>
      </c>
      <c r="D92" s="121" t="s">
        <v>3241</v>
      </c>
      <c r="E92" s="266" t="s">
        <v>3242</v>
      </c>
      <c r="F92" s="267">
        <v>4</v>
      </c>
      <c r="G92" s="268">
        <v>4161</v>
      </c>
      <c r="H92" s="268">
        <v>20.09</v>
      </c>
      <c r="I92" s="274" t="s">
        <v>2665</v>
      </c>
      <c r="J92" s="113" t="s">
        <v>3243</v>
      </c>
      <c r="K92" s="266">
        <v>27.15</v>
      </c>
      <c r="L92" s="266" t="s">
        <v>3244</v>
      </c>
      <c r="M92" s="275" t="s">
        <v>3245</v>
      </c>
      <c r="N92" s="113" t="s">
        <v>66</v>
      </c>
      <c r="O92" s="113"/>
      <c r="P92" s="113"/>
      <c r="Q92" s="113">
        <v>26083.2</v>
      </c>
      <c r="R92" s="113">
        <v>708159</v>
      </c>
      <c r="S92" s="280">
        <v>358159</v>
      </c>
      <c r="T92" s="281">
        <f t="shared" si="25"/>
        <v>350000</v>
      </c>
      <c r="U92" s="280"/>
      <c r="V92" s="280"/>
      <c r="W92" s="280"/>
      <c r="X92" s="280"/>
      <c r="Y92" s="113"/>
      <c r="Z92" s="113"/>
      <c r="AA92" s="275"/>
      <c r="AB92" s="113"/>
      <c r="AC92" s="113"/>
      <c r="AD92" s="113"/>
      <c r="AE92" s="133"/>
      <c r="AF92" s="115" t="s">
        <v>237</v>
      </c>
      <c r="AG92" s="133" t="s">
        <v>3246</v>
      </c>
      <c r="AH92" s="133"/>
      <c r="AI92" s="132">
        <f t="shared" si="26"/>
        <v>358159</v>
      </c>
      <c r="AJ92" s="132">
        <f t="shared" si="27"/>
        <v>358159</v>
      </c>
      <c r="AK92" s="133">
        <f t="shared" si="28"/>
        <v>0</v>
      </c>
      <c r="AL92" s="132"/>
      <c r="AM92" s="133"/>
      <c r="AN92" s="246">
        <v>44841</v>
      </c>
      <c r="AO92" s="137"/>
      <c r="AP92" s="97"/>
      <c r="AQ92" s="97"/>
      <c r="AR92" s="97"/>
      <c r="AS92" s="97"/>
      <c r="AT92" s="97"/>
      <c r="AU92" s="97"/>
      <c r="AV92" s="97"/>
      <c r="AW92" s="97"/>
      <c r="AX92" s="97"/>
      <c r="AY92" s="97"/>
      <c r="AZ92" s="97"/>
      <c r="BA92" s="97"/>
      <c r="BB92" s="97"/>
      <c r="BC92" s="97"/>
      <c r="BD92" s="97"/>
      <c r="BE92" s="97"/>
    </row>
    <row r="93" s="115" customFormat="1" customHeight="1" spans="1:57">
      <c r="A93" s="115" t="s">
        <v>3247</v>
      </c>
      <c r="B93" s="111" t="s">
        <v>3248</v>
      </c>
      <c r="C93" s="554" t="s">
        <v>3249</v>
      </c>
      <c r="D93" s="121" t="s">
        <v>3250</v>
      </c>
      <c r="E93" s="266">
        <v>13623718955</v>
      </c>
      <c r="F93" s="267">
        <v>3</v>
      </c>
      <c r="G93" s="268">
        <v>3201</v>
      </c>
      <c r="H93" s="268">
        <v>18.75</v>
      </c>
      <c r="I93" s="274" t="s">
        <v>2665</v>
      </c>
      <c r="J93" s="113" t="s">
        <v>3251</v>
      </c>
      <c r="K93" s="266">
        <v>20.53</v>
      </c>
      <c r="L93" s="266" t="s">
        <v>3252</v>
      </c>
      <c r="M93" s="275" t="s">
        <v>2941</v>
      </c>
      <c r="N93" s="113" t="s">
        <v>66</v>
      </c>
      <c r="O93" s="113"/>
      <c r="P93" s="113"/>
      <c r="Q93" s="113">
        <v>31944.42</v>
      </c>
      <c r="R93" s="113">
        <v>598958</v>
      </c>
      <c r="S93" s="280">
        <v>334958</v>
      </c>
      <c r="T93" s="281">
        <f t="shared" si="25"/>
        <v>264000</v>
      </c>
      <c r="U93" s="280"/>
      <c r="V93" s="280">
        <v>1218</v>
      </c>
      <c r="W93" s="280">
        <v>550</v>
      </c>
      <c r="X93" s="280"/>
      <c r="Y93" s="113"/>
      <c r="Z93" s="113"/>
      <c r="AA93" s="275"/>
      <c r="AB93" s="113"/>
      <c r="AC93" s="113">
        <v>1246.4</v>
      </c>
      <c r="AD93" s="113"/>
      <c r="AE93" s="133"/>
      <c r="AF93" s="115" t="s">
        <v>237</v>
      </c>
      <c r="AG93" s="133" t="s">
        <v>160</v>
      </c>
      <c r="AH93" s="133"/>
      <c r="AI93" s="132">
        <f t="shared" si="26"/>
        <v>337972.4</v>
      </c>
      <c r="AJ93" s="132">
        <f t="shared" si="27"/>
        <v>336726</v>
      </c>
      <c r="AK93" s="133">
        <f t="shared" si="28"/>
        <v>1246.40000000002</v>
      </c>
      <c r="AL93" s="132"/>
      <c r="AM93" s="133"/>
      <c r="AN93" s="246">
        <v>44841</v>
      </c>
      <c r="AO93" s="137"/>
      <c r="AP93" s="97"/>
      <c r="AQ93" s="97"/>
      <c r="AR93" s="97"/>
      <c r="AS93" s="97"/>
      <c r="AT93" s="97"/>
      <c r="AU93" s="97"/>
      <c r="AV93" s="97"/>
      <c r="AW93" s="97"/>
      <c r="AX93" s="97"/>
      <c r="AY93" s="97"/>
      <c r="AZ93" s="97"/>
      <c r="BA93" s="97"/>
      <c r="BB93" s="97"/>
      <c r="BC93" s="97"/>
      <c r="BD93" s="97"/>
      <c r="BE93" s="97"/>
    </row>
    <row r="94" s="115" customFormat="1" customHeight="1" spans="1:57">
      <c r="A94" s="115" t="s">
        <v>3253</v>
      </c>
      <c r="B94" s="111" t="s">
        <v>3254</v>
      </c>
      <c r="C94" s="554" t="s">
        <v>3255</v>
      </c>
      <c r="D94" s="121" t="s">
        <v>3256</v>
      </c>
      <c r="E94" s="266">
        <v>18739310787</v>
      </c>
      <c r="F94" s="267">
        <v>4</v>
      </c>
      <c r="G94" s="268">
        <v>4411</v>
      </c>
      <c r="H94" s="268">
        <v>13.79</v>
      </c>
      <c r="I94" s="274" t="s">
        <v>2657</v>
      </c>
      <c r="J94" s="113" t="s">
        <v>3257</v>
      </c>
      <c r="K94" s="266">
        <v>11.19</v>
      </c>
      <c r="L94" s="266" t="s">
        <v>2891</v>
      </c>
      <c r="M94" s="275" t="s">
        <v>3258</v>
      </c>
      <c r="N94" s="113" t="s">
        <v>56</v>
      </c>
      <c r="O94" s="113"/>
      <c r="P94" s="113"/>
      <c r="Q94" s="113">
        <v>26629.49</v>
      </c>
      <c r="R94" s="113">
        <v>297984</v>
      </c>
      <c r="S94" s="280">
        <v>297984</v>
      </c>
      <c r="T94" s="281">
        <f t="shared" si="25"/>
        <v>0</v>
      </c>
      <c r="U94" s="280"/>
      <c r="V94" s="280"/>
      <c r="W94" s="280"/>
      <c r="X94" s="280"/>
      <c r="Y94" s="113"/>
      <c r="Z94" s="113"/>
      <c r="AA94" s="275"/>
      <c r="AB94" s="113"/>
      <c r="AC94" s="113"/>
      <c r="AD94" s="113"/>
      <c r="AE94" s="133"/>
      <c r="AF94" s="115" t="s">
        <v>237</v>
      </c>
      <c r="AG94" s="133"/>
      <c r="AH94" s="133"/>
      <c r="AI94" s="132">
        <f t="shared" ref="AI94:AI101" si="29">S94+U94+V94+W94+X94+AC94+AD94+AE94</f>
        <v>297984</v>
      </c>
      <c r="AJ94" s="132">
        <f t="shared" ref="AJ94:AJ101" si="30">S94+U94+V94+W94+X94</f>
        <v>297984</v>
      </c>
      <c r="AK94" s="133">
        <f t="shared" ref="AK94:AK101" si="31">AI94-AJ94</f>
        <v>0</v>
      </c>
      <c r="AL94" s="132"/>
      <c r="AM94" s="133"/>
      <c r="AN94" s="246">
        <v>44841</v>
      </c>
      <c r="AO94" s="137"/>
      <c r="AP94" s="97"/>
      <c r="AQ94" s="97"/>
      <c r="AR94" s="97"/>
      <c r="AS94" s="97"/>
      <c r="AT94" s="97"/>
      <c r="AU94" s="97"/>
      <c r="AV94" s="97"/>
      <c r="AW94" s="97"/>
      <c r="AX94" s="97"/>
      <c r="AY94" s="97"/>
      <c r="AZ94" s="97"/>
      <c r="BA94" s="97"/>
      <c r="BB94" s="97"/>
      <c r="BC94" s="97"/>
      <c r="BD94" s="97"/>
      <c r="BE94" s="97"/>
    </row>
    <row r="95" s="115" customFormat="1" customHeight="1" spans="1:57">
      <c r="A95" s="115" t="s">
        <v>3259</v>
      </c>
      <c r="B95" s="111" t="s">
        <v>3260</v>
      </c>
      <c r="C95" s="554" t="s">
        <v>3261</v>
      </c>
      <c r="D95" s="121" t="s">
        <v>3262</v>
      </c>
      <c r="E95" s="266">
        <v>17839968198</v>
      </c>
      <c r="F95" s="267">
        <v>1</v>
      </c>
      <c r="G95" s="268">
        <v>1344</v>
      </c>
      <c r="H95" s="268">
        <v>19.63</v>
      </c>
      <c r="I95" s="274" t="s">
        <v>2657</v>
      </c>
      <c r="J95" s="113" t="s">
        <v>3263</v>
      </c>
      <c r="K95" s="266">
        <v>18.66</v>
      </c>
      <c r="L95" s="266" t="s">
        <v>3264</v>
      </c>
      <c r="M95" s="275" t="s">
        <v>2763</v>
      </c>
      <c r="N95" s="113" t="s">
        <v>66</v>
      </c>
      <c r="O95" s="113"/>
      <c r="P95" s="113"/>
      <c r="Q95" s="113">
        <v>48178.56</v>
      </c>
      <c r="R95" s="113">
        <v>945745</v>
      </c>
      <c r="S95" s="280">
        <v>475745</v>
      </c>
      <c r="T95" s="281"/>
      <c r="U95" s="280">
        <v>470000</v>
      </c>
      <c r="V95" s="280">
        <v>1275</v>
      </c>
      <c r="W95" s="280">
        <v>550</v>
      </c>
      <c r="X95" s="280"/>
      <c r="Y95" s="113" t="s">
        <v>2669</v>
      </c>
      <c r="Z95" s="113" t="s">
        <v>48</v>
      </c>
      <c r="AA95" s="275">
        <v>44023</v>
      </c>
      <c r="AB95" s="113"/>
      <c r="AC95" s="113"/>
      <c r="AD95" s="113"/>
      <c r="AE95" s="133"/>
      <c r="AF95" s="115" t="s">
        <v>237</v>
      </c>
      <c r="AG95" s="133" t="s">
        <v>160</v>
      </c>
      <c r="AH95" s="133"/>
      <c r="AI95" s="132">
        <f t="shared" si="29"/>
        <v>947570</v>
      </c>
      <c r="AJ95" s="132">
        <f t="shared" si="30"/>
        <v>947570</v>
      </c>
      <c r="AK95" s="133">
        <f t="shared" si="31"/>
        <v>0</v>
      </c>
      <c r="AL95" s="132"/>
      <c r="AM95" s="133"/>
      <c r="AN95" s="246">
        <v>44841</v>
      </c>
      <c r="AO95" s="137"/>
      <c r="AP95" s="97"/>
      <c r="AQ95" s="97"/>
      <c r="AR95" s="97"/>
      <c r="AS95" s="97"/>
      <c r="AT95" s="97"/>
      <c r="AU95" s="97"/>
      <c r="AV95" s="97"/>
      <c r="AW95" s="97"/>
      <c r="AX95" s="97"/>
      <c r="AY95" s="97"/>
      <c r="AZ95" s="97"/>
      <c r="BA95" s="97"/>
      <c r="BB95" s="97"/>
      <c r="BC95" s="97"/>
      <c r="BD95" s="97"/>
      <c r="BE95" s="97"/>
    </row>
    <row r="96" s="115" customFormat="1" customHeight="1" spans="1:57">
      <c r="A96" s="115" t="s">
        <v>3265</v>
      </c>
      <c r="B96" s="111" t="s">
        <v>3266</v>
      </c>
      <c r="C96" s="554" t="s">
        <v>3267</v>
      </c>
      <c r="D96" s="121" t="s">
        <v>3268</v>
      </c>
      <c r="E96" s="266">
        <v>17737192898</v>
      </c>
      <c r="F96" s="267">
        <v>4</v>
      </c>
      <c r="G96" s="268">
        <v>4303</v>
      </c>
      <c r="H96" s="268">
        <v>14.49</v>
      </c>
      <c r="I96" s="274" t="s">
        <v>2657</v>
      </c>
      <c r="J96" s="113" t="s">
        <v>3269</v>
      </c>
      <c r="K96" s="266">
        <v>13.28</v>
      </c>
      <c r="L96" s="266" t="s">
        <v>3096</v>
      </c>
      <c r="M96" s="275" t="s">
        <v>2806</v>
      </c>
      <c r="N96" s="113" t="s">
        <v>66</v>
      </c>
      <c r="O96" s="113"/>
      <c r="P96" s="113"/>
      <c r="Q96" s="113">
        <v>26024.77</v>
      </c>
      <c r="R96" s="113">
        <v>345609</v>
      </c>
      <c r="S96" s="280">
        <v>175609</v>
      </c>
      <c r="T96" s="281">
        <f>R96-S96</f>
        <v>170000</v>
      </c>
      <c r="U96" s="280"/>
      <c r="V96" s="280"/>
      <c r="W96" s="280"/>
      <c r="X96" s="280"/>
      <c r="Y96" s="113"/>
      <c r="Z96" s="113"/>
      <c r="AA96" s="275"/>
      <c r="AB96" s="113"/>
      <c r="AC96" s="113"/>
      <c r="AD96" s="113"/>
      <c r="AE96" s="133"/>
      <c r="AF96" s="115" t="s">
        <v>237</v>
      </c>
      <c r="AG96" s="133"/>
      <c r="AH96" s="133"/>
      <c r="AI96" s="132">
        <f t="shared" si="29"/>
        <v>175609</v>
      </c>
      <c r="AJ96" s="132">
        <f t="shared" si="30"/>
        <v>175609</v>
      </c>
      <c r="AK96" s="133">
        <f t="shared" si="31"/>
        <v>0</v>
      </c>
      <c r="AL96" s="132"/>
      <c r="AM96" s="133"/>
      <c r="AN96" s="246">
        <v>44841</v>
      </c>
      <c r="AO96" s="137"/>
      <c r="AP96" s="97"/>
      <c r="AQ96" s="97"/>
      <c r="AR96" s="97"/>
      <c r="AS96" s="97"/>
      <c r="AT96" s="97"/>
      <c r="AU96" s="97"/>
      <c r="AV96" s="97"/>
      <c r="AW96" s="97"/>
      <c r="AX96" s="97"/>
      <c r="AY96" s="97"/>
      <c r="AZ96" s="97"/>
      <c r="BA96" s="97"/>
      <c r="BB96" s="97"/>
      <c r="BC96" s="97"/>
      <c r="BD96" s="97"/>
      <c r="BE96" s="97"/>
    </row>
    <row r="97" s="115" customFormat="1" customHeight="1" spans="1:57">
      <c r="A97" s="115" t="s">
        <v>3270</v>
      </c>
      <c r="B97" s="111" t="s">
        <v>3271</v>
      </c>
      <c r="C97" s="111" t="s">
        <v>3272</v>
      </c>
      <c r="D97" s="121" t="s">
        <v>3273</v>
      </c>
      <c r="E97" s="266" t="s">
        <v>3274</v>
      </c>
      <c r="F97" s="267">
        <v>3</v>
      </c>
      <c r="G97" s="268">
        <v>3926</v>
      </c>
      <c r="H97" s="268">
        <v>16.38</v>
      </c>
      <c r="I97" s="274" t="s">
        <v>2657</v>
      </c>
      <c r="J97" s="113" t="s">
        <v>3275</v>
      </c>
      <c r="K97" s="266">
        <v>14.73</v>
      </c>
      <c r="L97" s="266">
        <v>43674</v>
      </c>
      <c r="M97" s="275">
        <v>43999</v>
      </c>
      <c r="N97" s="113" t="s">
        <v>66</v>
      </c>
      <c r="O97" s="113"/>
      <c r="P97" s="113"/>
      <c r="Q97" s="113">
        <v>30794.17</v>
      </c>
      <c r="R97" s="113">
        <v>504409</v>
      </c>
      <c r="S97" s="280">
        <v>254409</v>
      </c>
      <c r="T97" s="281">
        <f>R97-S97</f>
        <v>250000</v>
      </c>
      <c r="U97" s="280"/>
      <c r="V97" s="280">
        <v>1064</v>
      </c>
      <c r="W97" s="280">
        <v>550</v>
      </c>
      <c r="X97" s="280"/>
      <c r="Y97" s="113"/>
      <c r="Z97" s="113"/>
      <c r="AA97" s="275"/>
      <c r="AB97" s="113"/>
      <c r="AC97" s="113"/>
      <c r="AD97" s="113"/>
      <c r="AE97" s="133"/>
      <c r="AG97" s="133"/>
      <c r="AH97" s="133"/>
      <c r="AI97" s="132">
        <f t="shared" si="29"/>
        <v>256023</v>
      </c>
      <c r="AJ97" s="132">
        <f t="shared" si="30"/>
        <v>256023</v>
      </c>
      <c r="AK97" s="133">
        <f t="shared" si="31"/>
        <v>0</v>
      </c>
      <c r="AL97" s="132"/>
      <c r="AM97" s="133"/>
      <c r="AN97" s="246">
        <v>44841</v>
      </c>
      <c r="AO97" s="137"/>
      <c r="AP97" s="97"/>
      <c r="AQ97" s="97"/>
      <c r="AR97" s="97"/>
      <c r="AS97" s="97"/>
      <c r="AT97" s="97"/>
      <c r="AU97" s="97"/>
      <c r="AV97" s="97"/>
      <c r="AW97" s="97"/>
      <c r="AX97" s="97"/>
      <c r="AY97" s="97"/>
      <c r="AZ97" s="97"/>
      <c r="BA97" s="97"/>
      <c r="BB97" s="97"/>
      <c r="BC97" s="97"/>
      <c r="BD97" s="97"/>
      <c r="BE97" s="97"/>
    </row>
    <row r="98" s="115" customFormat="1" customHeight="1" spans="1:57">
      <c r="A98" s="115" t="s">
        <v>3276</v>
      </c>
      <c r="B98" s="111" t="s">
        <v>3277</v>
      </c>
      <c r="C98" s="554" t="s">
        <v>3278</v>
      </c>
      <c r="D98" s="121" t="s">
        <v>3279</v>
      </c>
      <c r="E98" s="266" t="s">
        <v>3280</v>
      </c>
      <c r="F98" s="267">
        <v>4</v>
      </c>
      <c r="G98" s="268">
        <v>449</v>
      </c>
      <c r="H98" s="268">
        <v>20.76</v>
      </c>
      <c r="I98" s="274" t="s">
        <v>2657</v>
      </c>
      <c r="J98" s="113" t="s">
        <v>3281</v>
      </c>
      <c r="K98" s="266">
        <v>18.06</v>
      </c>
      <c r="L98" s="266" t="s">
        <v>3008</v>
      </c>
      <c r="M98" s="275" t="s">
        <v>3282</v>
      </c>
      <c r="N98" s="113" t="s">
        <v>66</v>
      </c>
      <c r="O98" s="113"/>
      <c r="P98" s="113"/>
      <c r="Q98" s="113">
        <v>26967.05</v>
      </c>
      <c r="R98" s="113">
        <v>487025</v>
      </c>
      <c r="S98" s="280">
        <v>247025</v>
      </c>
      <c r="T98" s="281">
        <f>R98-S98</f>
        <v>240000</v>
      </c>
      <c r="U98" s="280"/>
      <c r="V98" s="280"/>
      <c r="W98" s="280"/>
      <c r="X98" s="280"/>
      <c r="Y98" s="113"/>
      <c r="Z98" s="113"/>
      <c r="AA98" s="275"/>
      <c r="AB98" s="113" t="s">
        <v>3283</v>
      </c>
      <c r="AC98" s="113"/>
      <c r="AD98" s="113"/>
      <c r="AE98" s="133"/>
      <c r="AG98" s="133"/>
      <c r="AH98" s="133"/>
      <c r="AI98" s="132">
        <f t="shared" si="29"/>
        <v>247025</v>
      </c>
      <c r="AJ98" s="132">
        <f t="shared" si="30"/>
        <v>247025</v>
      </c>
      <c r="AK98" s="133">
        <f t="shared" si="31"/>
        <v>0</v>
      </c>
      <c r="AL98" s="132"/>
      <c r="AM98" s="133"/>
      <c r="AN98" s="246">
        <v>44841</v>
      </c>
      <c r="AO98" s="137"/>
      <c r="AP98" s="97"/>
      <c r="AQ98" s="97"/>
      <c r="AR98" s="97"/>
      <c r="AS98" s="97"/>
      <c r="AT98" s="97"/>
      <c r="AU98" s="97"/>
      <c r="AV98" s="97"/>
      <c r="AW98" s="97"/>
      <c r="AX98" s="97"/>
      <c r="AY98" s="97"/>
      <c r="AZ98" s="97"/>
      <c r="BA98" s="97"/>
      <c r="BB98" s="97"/>
      <c r="BC98" s="97"/>
      <c r="BD98" s="97"/>
      <c r="BE98" s="97"/>
    </row>
    <row r="99" s="115" customFormat="1" customHeight="1" spans="1:57">
      <c r="A99" s="115" t="s">
        <v>3284</v>
      </c>
      <c r="B99" s="111" t="s">
        <v>3285</v>
      </c>
      <c r="C99" s="111" t="s">
        <v>3286</v>
      </c>
      <c r="D99" s="121" t="s">
        <v>3287</v>
      </c>
      <c r="E99" s="266" t="s">
        <v>3288</v>
      </c>
      <c r="F99" s="267">
        <v>3</v>
      </c>
      <c r="G99" s="268">
        <v>3242</v>
      </c>
      <c r="H99" s="268">
        <v>25.16</v>
      </c>
      <c r="I99" s="274" t="s">
        <v>2665</v>
      </c>
      <c r="J99" s="113" t="s">
        <v>3289</v>
      </c>
      <c r="K99" s="266">
        <v>24.8</v>
      </c>
      <c r="L99" s="266" t="s">
        <v>3290</v>
      </c>
      <c r="M99" s="275" t="s">
        <v>3291</v>
      </c>
      <c r="N99" s="113" t="s">
        <v>56</v>
      </c>
      <c r="O99" s="113"/>
      <c r="P99" s="113"/>
      <c r="Q99" s="113">
        <v>26774.19</v>
      </c>
      <c r="R99" s="113">
        <v>664000</v>
      </c>
      <c r="S99" s="280">
        <v>664000</v>
      </c>
      <c r="T99" s="281">
        <f>R99-S99</f>
        <v>0</v>
      </c>
      <c r="U99" s="280"/>
      <c r="V99" s="280"/>
      <c r="W99" s="280"/>
      <c r="X99" s="280"/>
      <c r="Y99" s="113"/>
      <c r="Z99" s="113"/>
      <c r="AA99" s="275"/>
      <c r="AB99" s="113"/>
      <c r="AC99" s="113"/>
      <c r="AD99" s="113"/>
      <c r="AE99" s="133"/>
      <c r="AF99" s="115" t="s">
        <v>237</v>
      </c>
      <c r="AG99" s="133" t="s">
        <v>160</v>
      </c>
      <c r="AH99" s="133"/>
      <c r="AI99" s="132">
        <f t="shared" si="29"/>
        <v>664000</v>
      </c>
      <c r="AJ99" s="132">
        <f t="shared" si="30"/>
        <v>664000</v>
      </c>
      <c r="AK99" s="133">
        <f t="shared" si="31"/>
        <v>0</v>
      </c>
      <c r="AL99" s="132"/>
      <c r="AM99" s="133"/>
      <c r="AN99" s="246">
        <v>44841</v>
      </c>
      <c r="AO99" s="137"/>
      <c r="AP99" s="97"/>
      <c r="AQ99" s="97"/>
      <c r="AR99" s="97"/>
      <c r="AS99" s="97"/>
      <c r="AT99" s="97"/>
      <c r="AU99" s="97"/>
      <c r="AV99" s="97"/>
      <c r="AW99" s="97"/>
      <c r="AX99" s="97"/>
      <c r="AY99" s="97"/>
      <c r="AZ99" s="97"/>
      <c r="BA99" s="97"/>
      <c r="BB99" s="97"/>
      <c r="BC99" s="97"/>
      <c r="BD99" s="97"/>
      <c r="BE99" s="97"/>
    </row>
    <row r="100" s="115" customFormat="1" customHeight="1" spans="1:57">
      <c r="A100" s="115" t="s">
        <v>3292</v>
      </c>
      <c r="B100" s="111" t="s">
        <v>3293</v>
      </c>
      <c r="C100" s="554" t="s">
        <v>3294</v>
      </c>
      <c r="D100" s="121" t="s">
        <v>3295</v>
      </c>
      <c r="E100" s="266">
        <v>13837171662</v>
      </c>
      <c r="F100" s="267">
        <v>1</v>
      </c>
      <c r="G100" s="268">
        <v>1756</v>
      </c>
      <c r="H100" s="268">
        <v>17.68</v>
      </c>
      <c r="I100" s="274" t="s">
        <v>2657</v>
      </c>
      <c r="J100" s="113" t="s">
        <v>3296</v>
      </c>
      <c r="K100" s="266">
        <v>18.47</v>
      </c>
      <c r="L100" s="266" t="s">
        <v>3297</v>
      </c>
      <c r="M100" s="275" t="s">
        <v>3298</v>
      </c>
      <c r="N100" s="113" t="s">
        <v>66</v>
      </c>
      <c r="O100" s="113"/>
      <c r="P100" s="113"/>
      <c r="Q100" s="113">
        <v>47644.83</v>
      </c>
      <c r="R100" s="113">
        <v>842361</v>
      </c>
      <c r="S100" s="280">
        <v>812361</v>
      </c>
      <c r="T100" s="281">
        <v>30000</v>
      </c>
      <c r="U100" s="280"/>
      <c r="V100" s="280"/>
      <c r="W100" s="280"/>
      <c r="X100" s="280"/>
      <c r="Y100" s="113"/>
      <c r="Z100" s="113"/>
      <c r="AA100" s="275"/>
      <c r="AB100" s="113"/>
      <c r="AC100" s="113"/>
      <c r="AD100" s="113"/>
      <c r="AE100" s="133"/>
      <c r="AF100" s="115" t="s">
        <v>123</v>
      </c>
      <c r="AG100" s="133" t="s">
        <v>3299</v>
      </c>
      <c r="AH100" s="133"/>
      <c r="AI100" s="132">
        <f t="shared" si="29"/>
        <v>812361</v>
      </c>
      <c r="AJ100" s="132">
        <f t="shared" si="30"/>
        <v>812361</v>
      </c>
      <c r="AK100" s="133">
        <f t="shared" si="31"/>
        <v>0</v>
      </c>
      <c r="AL100" s="132"/>
      <c r="AM100" s="133"/>
      <c r="AN100" s="246">
        <v>44841</v>
      </c>
      <c r="AO100" s="137"/>
      <c r="AP100" s="97"/>
      <c r="AQ100" s="97"/>
      <c r="AR100" s="97"/>
      <c r="AS100" s="97"/>
      <c r="AT100" s="97"/>
      <c r="AU100" s="97"/>
      <c r="AV100" s="97"/>
      <c r="AW100" s="97"/>
      <c r="AX100" s="97"/>
      <c r="AY100" s="97"/>
      <c r="AZ100" s="97"/>
      <c r="BA100" s="97"/>
      <c r="BB100" s="97"/>
      <c r="BC100" s="97"/>
      <c r="BD100" s="97"/>
      <c r="BE100" s="97"/>
    </row>
    <row r="101" s="115" customFormat="1" customHeight="1" spans="1:57">
      <c r="A101" s="115" t="s">
        <v>3300</v>
      </c>
      <c r="B101" s="111" t="s">
        <v>3301</v>
      </c>
      <c r="C101" s="111" t="s">
        <v>3302</v>
      </c>
      <c r="D101" s="121"/>
      <c r="E101" s="266" t="s">
        <v>3303</v>
      </c>
      <c r="F101" s="267">
        <v>4</v>
      </c>
      <c r="G101" s="268">
        <v>4501</v>
      </c>
      <c r="H101" s="268">
        <v>13.21</v>
      </c>
      <c r="I101" s="274" t="s">
        <v>2657</v>
      </c>
      <c r="J101" s="113" t="s">
        <v>3304</v>
      </c>
      <c r="K101" s="266">
        <v>13.77</v>
      </c>
      <c r="L101" s="266">
        <v>43561</v>
      </c>
      <c r="M101" s="275">
        <v>43576</v>
      </c>
      <c r="N101" s="113" t="s">
        <v>56</v>
      </c>
      <c r="O101" s="113"/>
      <c r="P101" s="113"/>
      <c r="Q101" s="113">
        <v>26287.65</v>
      </c>
      <c r="R101" s="113">
        <v>361981</v>
      </c>
      <c r="S101" s="280">
        <v>181981</v>
      </c>
      <c r="T101" s="281">
        <f>R101-S101</f>
        <v>180000</v>
      </c>
      <c r="U101" s="280"/>
      <c r="V101" s="280"/>
      <c r="W101" s="280"/>
      <c r="X101" s="280"/>
      <c r="Y101" s="113"/>
      <c r="Z101" s="113"/>
      <c r="AA101" s="275"/>
      <c r="AB101" s="113"/>
      <c r="AC101" s="113"/>
      <c r="AD101" s="113"/>
      <c r="AE101" s="133"/>
      <c r="AG101" s="133"/>
      <c r="AH101" s="133"/>
      <c r="AI101" s="132">
        <f t="shared" si="29"/>
        <v>181981</v>
      </c>
      <c r="AJ101" s="132">
        <f t="shared" si="30"/>
        <v>181981</v>
      </c>
      <c r="AK101" s="133">
        <f t="shared" si="31"/>
        <v>0</v>
      </c>
      <c r="AL101" s="132"/>
      <c r="AM101" s="133"/>
      <c r="AN101" s="246">
        <v>44841</v>
      </c>
      <c r="AO101" s="137"/>
      <c r="AP101" s="97"/>
      <c r="AQ101" s="97"/>
      <c r="AR101" s="97"/>
      <c r="AS101" s="97"/>
      <c r="AT101" s="97"/>
      <c r="AU101" s="97"/>
      <c r="AV101" s="97"/>
      <c r="AW101" s="97"/>
      <c r="AX101" s="97"/>
      <c r="AY101" s="97"/>
      <c r="AZ101" s="97"/>
      <c r="BA101" s="97"/>
      <c r="BB101" s="97"/>
      <c r="BC101" s="97"/>
      <c r="BD101" s="97"/>
      <c r="BE101" s="97"/>
    </row>
    <row r="102" s="115" customFormat="1" customHeight="1" spans="1:57">
      <c r="A102" s="115" t="s">
        <v>3305</v>
      </c>
      <c r="B102" s="111" t="s">
        <v>3306</v>
      </c>
      <c r="C102" s="111"/>
      <c r="D102" s="121"/>
      <c r="E102" s="266"/>
      <c r="F102" s="267">
        <v>4</v>
      </c>
      <c r="G102" s="268"/>
      <c r="H102" s="268"/>
      <c r="I102" s="274"/>
      <c r="J102" s="113" t="s">
        <v>3307</v>
      </c>
      <c r="K102" s="266">
        <v>7</v>
      </c>
      <c r="L102" s="266"/>
      <c r="M102" s="275">
        <v>43464</v>
      </c>
      <c r="N102" s="113"/>
      <c r="O102" s="113"/>
      <c r="P102" s="113"/>
      <c r="Q102" s="113">
        <v>22087</v>
      </c>
      <c r="R102" s="113">
        <f>Q102*K102</f>
        <v>154609</v>
      </c>
      <c r="S102" s="280">
        <v>154608</v>
      </c>
      <c r="T102" s="281"/>
      <c r="U102" s="280"/>
      <c r="V102" s="280"/>
      <c r="W102" s="280"/>
      <c r="X102" s="280"/>
      <c r="Y102" s="113"/>
      <c r="Z102" s="113"/>
      <c r="AA102" s="275"/>
      <c r="AB102" s="113" t="s">
        <v>3308</v>
      </c>
      <c r="AC102" s="113"/>
      <c r="AD102" s="113"/>
      <c r="AE102" s="133"/>
      <c r="AG102" s="133"/>
      <c r="AH102" s="133"/>
      <c r="AI102" s="132">
        <f t="shared" ref="AI102:AI108" si="32">S102+U102+V102+W102+X102+AC102+AD102+AE102</f>
        <v>154608</v>
      </c>
      <c r="AJ102" s="132">
        <f t="shared" ref="AJ102:AJ108" si="33">S102+U102+V102+W102+X102</f>
        <v>154608</v>
      </c>
      <c r="AK102" s="133">
        <f t="shared" ref="AK102:AK108" si="34">AI102-AJ102</f>
        <v>0</v>
      </c>
      <c r="AL102" s="132"/>
      <c r="AM102" s="133"/>
      <c r="AN102" s="246">
        <v>44841</v>
      </c>
      <c r="AO102" s="137"/>
      <c r="AP102" s="97"/>
      <c r="AQ102" s="97"/>
      <c r="AR102" s="97"/>
      <c r="AS102" s="97"/>
      <c r="AT102" s="97"/>
      <c r="AU102" s="97"/>
      <c r="AV102" s="97"/>
      <c r="AW102" s="97"/>
      <c r="AX102" s="97"/>
      <c r="AY102" s="97"/>
      <c r="AZ102" s="97"/>
      <c r="BA102" s="97"/>
      <c r="BB102" s="97"/>
      <c r="BC102" s="97"/>
      <c r="BD102" s="97"/>
      <c r="BE102" s="97"/>
    </row>
    <row r="103" s="115" customFormat="1" customHeight="1" spans="1:57">
      <c r="A103" s="115" t="s">
        <v>3309</v>
      </c>
      <c r="B103" s="111" t="s">
        <v>3310</v>
      </c>
      <c r="C103" s="111" t="s">
        <v>3311</v>
      </c>
      <c r="D103" s="121" t="s">
        <v>2987</v>
      </c>
      <c r="E103" s="266" t="s">
        <v>3312</v>
      </c>
      <c r="F103" s="267">
        <v>1</v>
      </c>
      <c r="G103" s="268">
        <v>1792</v>
      </c>
      <c r="H103" s="268">
        <v>15.32</v>
      </c>
      <c r="I103" s="274"/>
      <c r="J103" s="113" t="s">
        <v>3313</v>
      </c>
      <c r="K103" s="266">
        <v>17.09</v>
      </c>
      <c r="L103" s="266">
        <v>43758</v>
      </c>
      <c r="M103" s="275">
        <v>43763</v>
      </c>
      <c r="N103" s="113" t="s">
        <v>66</v>
      </c>
      <c r="O103" s="113"/>
      <c r="P103" s="113"/>
      <c r="Q103" s="113">
        <v>47396.14</v>
      </c>
      <c r="R103" s="113">
        <v>810000</v>
      </c>
      <c r="S103" s="280">
        <v>410000</v>
      </c>
      <c r="T103" s="281">
        <f>R103-S103</f>
        <v>400000</v>
      </c>
      <c r="U103" s="280"/>
      <c r="V103" s="280"/>
      <c r="W103" s="280"/>
      <c r="X103" s="280"/>
      <c r="Y103" s="113"/>
      <c r="Z103" s="113"/>
      <c r="AA103" s="275"/>
      <c r="AB103" s="113"/>
      <c r="AC103" s="113"/>
      <c r="AD103" s="113"/>
      <c r="AE103" s="133"/>
      <c r="AG103" s="133"/>
      <c r="AH103" s="133"/>
      <c r="AI103" s="132">
        <f t="shared" si="32"/>
        <v>410000</v>
      </c>
      <c r="AJ103" s="132">
        <f t="shared" si="33"/>
        <v>410000</v>
      </c>
      <c r="AK103" s="133">
        <f t="shared" si="34"/>
        <v>0</v>
      </c>
      <c r="AL103" s="132"/>
      <c r="AM103" s="133"/>
      <c r="AN103" s="246">
        <v>44841</v>
      </c>
      <c r="AO103" s="137"/>
      <c r="AP103" s="97"/>
      <c r="AQ103" s="97"/>
      <c r="AR103" s="97"/>
      <c r="AS103" s="97"/>
      <c r="AT103" s="97"/>
      <c r="AU103" s="97"/>
      <c r="AV103" s="97"/>
      <c r="AW103" s="97"/>
      <c r="AX103" s="97"/>
      <c r="AY103" s="97"/>
      <c r="AZ103" s="97"/>
      <c r="BA103" s="97"/>
      <c r="BB103" s="97"/>
      <c r="BC103" s="97"/>
      <c r="BD103" s="97"/>
      <c r="BE103" s="97"/>
    </row>
    <row r="104" s="115" customFormat="1" customHeight="1" spans="1:57">
      <c r="A104" s="115" t="s">
        <v>3314</v>
      </c>
      <c r="B104" s="111" t="s">
        <v>3315</v>
      </c>
      <c r="C104" s="111" t="s">
        <v>3316</v>
      </c>
      <c r="D104" s="121" t="s">
        <v>3317</v>
      </c>
      <c r="E104" s="266">
        <v>13523039117</v>
      </c>
      <c r="F104" s="267">
        <v>3</v>
      </c>
      <c r="G104" s="268">
        <v>3371</v>
      </c>
      <c r="H104" s="268">
        <v>19.42</v>
      </c>
      <c r="I104" s="274" t="s">
        <v>2657</v>
      </c>
      <c r="J104" s="113" t="s">
        <v>3318</v>
      </c>
      <c r="K104" s="266">
        <v>16.64</v>
      </c>
      <c r="L104" s="266" t="s">
        <v>3131</v>
      </c>
      <c r="M104" s="275" t="s">
        <v>3319</v>
      </c>
      <c r="N104" s="113" t="s">
        <v>66</v>
      </c>
      <c r="O104" s="113"/>
      <c r="P104" s="113"/>
      <c r="Q104" s="113">
        <v>32444.29</v>
      </c>
      <c r="R104" s="113">
        <v>630068</v>
      </c>
      <c r="S104" s="280">
        <v>320068</v>
      </c>
      <c r="T104" s="281">
        <v>310000</v>
      </c>
      <c r="U104" s="280"/>
      <c r="V104" s="280">
        <v>1262</v>
      </c>
      <c r="W104" s="280">
        <v>550</v>
      </c>
      <c r="X104" s="280"/>
      <c r="Y104" s="113" t="s">
        <v>2669</v>
      </c>
      <c r="Z104" s="113"/>
      <c r="AA104" s="275"/>
      <c r="AB104" s="113"/>
      <c r="AC104" s="113">
        <f>1000+220</f>
        <v>1220</v>
      </c>
      <c r="AD104" s="113"/>
      <c r="AE104" s="133"/>
      <c r="AG104" s="133"/>
      <c r="AH104" s="133"/>
      <c r="AI104" s="132">
        <f t="shared" si="32"/>
        <v>323100</v>
      </c>
      <c r="AJ104" s="132">
        <f t="shared" si="33"/>
        <v>321880</v>
      </c>
      <c r="AK104" s="133">
        <f t="shared" si="34"/>
        <v>1220</v>
      </c>
      <c r="AL104" s="132"/>
      <c r="AM104" s="133"/>
      <c r="AN104" s="246">
        <v>44841</v>
      </c>
      <c r="AO104" s="137"/>
      <c r="AP104" s="97"/>
      <c r="AQ104" s="97"/>
      <c r="AR104" s="97"/>
      <c r="AS104" s="97"/>
      <c r="AT104" s="97"/>
      <c r="AU104" s="97"/>
      <c r="AV104" s="97"/>
      <c r="AW104" s="97"/>
      <c r="AX104" s="97"/>
      <c r="AY104" s="97"/>
      <c r="AZ104" s="97"/>
      <c r="BA104" s="97"/>
      <c r="BB104" s="97"/>
      <c r="BC104" s="97"/>
      <c r="BD104" s="97"/>
      <c r="BE104" s="97"/>
    </row>
    <row r="105" s="115" customFormat="1" customHeight="1" spans="1:57">
      <c r="A105" s="115" t="s">
        <v>3320</v>
      </c>
      <c r="B105" s="111" t="s">
        <v>3321</v>
      </c>
      <c r="C105" s="111" t="s">
        <v>3322</v>
      </c>
      <c r="D105" s="121" t="s">
        <v>3323</v>
      </c>
      <c r="E105" s="266" t="s">
        <v>3324</v>
      </c>
      <c r="F105" s="267">
        <v>3</v>
      </c>
      <c r="G105" s="268">
        <v>3225</v>
      </c>
      <c r="H105" s="268">
        <v>14.01</v>
      </c>
      <c r="I105" s="274" t="s">
        <v>2657</v>
      </c>
      <c r="J105" s="113" t="s">
        <v>3325</v>
      </c>
      <c r="K105" s="266">
        <v>13.04</v>
      </c>
      <c r="L105" s="266" t="s">
        <v>3326</v>
      </c>
      <c r="M105" s="275" t="s">
        <v>2928</v>
      </c>
      <c r="N105" s="113" t="s">
        <v>66</v>
      </c>
      <c r="O105" s="113"/>
      <c r="P105" s="113"/>
      <c r="Q105" s="113">
        <v>31764.26</v>
      </c>
      <c r="R105" s="113">
        <v>445017</v>
      </c>
      <c r="S105" s="280">
        <v>225017</v>
      </c>
      <c r="T105" s="281">
        <f>R105-S105</f>
        <v>220000</v>
      </c>
      <c r="U105" s="280"/>
      <c r="V105" s="280">
        <v>910</v>
      </c>
      <c r="W105" s="280">
        <v>550</v>
      </c>
      <c r="X105" s="280"/>
      <c r="Y105" s="113" t="s">
        <v>2669</v>
      </c>
      <c r="Z105" s="113"/>
      <c r="AA105" s="275"/>
      <c r="AB105" s="113"/>
      <c r="AC105" s="113">
        <v>1242</v>
      </c>
      <c r="AD105" s="113"/>
      <c r="AE105" s="133"/>
      <c r="AG105" s="133"/>
      <c r="AH105" s="133"/>
      <c r="AI105" s="132">
        <f t="shared" si="32"/>
        <v>227719</v>
      </c>
      <c r="AJ105" s="132">
        <f t="shared" si="33"/>
        <v>226477</v>
      </c>
      <c r="AK105" s="133">
        <f t="shared" si="34"/>
        <v>1242</v>
      </c>
      <c r="AL105" s="132"/>
      <c r="AM105" s="133"/>
      <c r="AN105" s="246">
        <v>44841</v>
      </c>
      <c r="AO105" s="137"/>
      <c r="AP105" s="97"/>
      <c r="AQ105" s="97"/>
      <c r="AR105" s="97"/>
      <c r="AS105" s="97"/>
      <c r="AT105" s="97"/>
      <c r="AU105" s="97"/>
      <c r="AV105" s="97"/>
      <c r="AW105" s="97"/>
      <c r="AX105" s="97"/>
      <c r="AY105" s="97"/>
      <c r="AZ105" s="97"/>
      <c r="BA105" s="97"/>
      <c r="BB105" s="97"/>
      <c r="BC105" s="97"/>
      <c r="BD105" s="97"/>
      <c r="BE105" s="97"/>
    </row>
    <row r="106" s="115" customFormat="1" customHeight="1" spans="1:57">
      <c r="A106" s="115" t="s">
        <v>3327</v>
      </c>
      <c r="B106" s="111" t="s">
        <v>3328</v>
      </c>
      <c r="C106" s="554" t="s">
        <v>3329</v>
      </c>
      <c r="D106" s="121" t="s">
        <v>3330</v>
      </c>
      <c r="E106" s="266">
        <v>13526481508</v>
      </c>
      <c r="F106" s="267">
        <v>4</v>
      </c>
      <c r="G106" s="268">
        <v>487</v>
      </c>
      <c r="H106" s="268">
        <v>16.15</v>
      </c>
      <c r="I106" s="274" t="s">
        <v>2665</v>
      </c>
      <c r="J106" s="113" t="s">
        <v>3331</v>
      </c>
      <c r="K106" s="266">
        <v>20.18</v>
      </c>
      <c r="L106" s="266" t="s">
        <v>2711</v>
      </c>
      <c r="M106" s="275" t="s">
        <v>3332</v>
      </c>
      <c r="N106" s="113" t="s">
        <v>56</v>
      </c>
      <c r="O106" s="113"/>
      <c r="P106" s="113"/>
      <c r="Q106" s="113">
        <v>21235.73</v>
      </c>
      <c r="R106" s="113">
        <v>342957</v>
      </c>
      <c r="S106" s="280">
        <v>342957</v>
      </c>
      <c r="T106" s="281">
        <f>R106-S106</f>
        <v>0</v>
      </c>
      <c r="U106" s="280"/>
      <c r="V106" s="280">
        <v>1049</v>
      </c>
      <c r="W106" s="280">
        <v>550</v>
      </c>
      <c r="X106" s="280"/>
      <c r="Y106" s="113" t="s">
        <v>2669</v>
      </c>
      <c r="Z106" s="113" t="s">
        <v>48</v>
      </c>
      <c r="AA106" s="275">
        <v>44050</v>
      </c>
      <c r="AB106" s="113"/>
      <c r="AC106" s="113"/>
      <c r="AD106" s="113"/>
      <c r="AE106" s="133"/>
      <c r="AG106" s="133"/>
      <c r="AH106" s="133"/>
      <c r="AI106" s="132">
        <f t="shared" si="32"/>
        <v>344556</v>
      </c>
      <c r="AJ106" s="132">
        <f t="shared" si="33"/>
        <v>344556</v>
      </c>
      <c r="AK106" s="133">
        <f t="shared" si="34"/>
        <v>0</v>
      </c>
      <c r="AL106" s="132"/>
      <c r="AM106" s="133"/>
      <c r="AN106" s="246">
        <v>44841</v>
      </c>
      <c r="AO106" s="137"/>
      <c r="AP106" s="97"/>
      <c r="AQ106" s="97"/>
      <c r="AR106" s="97"/>
      <c r="AS106" s="97"/>
      <c r="AT106" s="97"/>
      <c r="AU106" s="97"/>
      <c r="AV106" s="97"/>
      <c r="AW106" s="97"/>
      <c r="AX106" s="97"/>
      <c r="AY106" s="97"/>
      <c r="AZ106" s="97"/>
      <c r="BA106" s="97"/>
      <c r="BB106" s="97"/>
      <c r="BC106" s="97"/>
      <c r="BD106" s="97"/>
      <c r="BE106" s="97"/>
    </row>
    <row r="107" s="115" customFormat="1" customHeight="1" spans="1:57">
      <c r="A107" s="115" t="s">
        <v>3333</v>
      </c>
      <c r="B107" s="111" t="s">
        <v>3334</v>
      </c>
      <c r="C107" s="554" t="s">
        <v>3335</v>
      </c>
      <c r="D107" s="121" t="s">
        <v>3336</v>
      </c>
      <c r="E107" s="266">
        <v>13937115836</v>
      </c>
      <c r="F107" s="267">
        <v>4</v>
      </c>
      <c r="G107" s="268">
        <v>490</v>
      </c>
      <c r="H107" s="268">
        <v>13.67</v>
      </c>
      <c r="I107" s="274" t="s">
        <v>2657</v>
      </c>
      <c r="J107" s="113" t="s">
        <v>3337</v>
      </c>
      <c r="K107" s="266">
        <v>12</v>
      </c>
      <c r="L107" s="266" t="s">
        <v>3326</v>
      </c>
      <c r="M107" s="275" t="s">
        <v>3338</v>
      </c>
      <c r="N107" s="113" t="s">
        <v>56</v>
      </c>
      <c r="O107" s="113"/>
      <c r="P107" s="113"/>
      <c r="Q107" s="113">
        <v>25500.92</v>
      </c>
      <c r="R107" s="113">
        <v>306011</v>
      </c>
      <c r="S107" s="280">
        <v>306011</v>
      </c>
      <c r="T107" s="281">
        <f>R107-S107</f>
        <v>0</v>
      </c>
      <c r="U107" s="280"/>
      <c r="V107" s="280"/>
      <c r="W107" s="280"/>
      <c r="X107" s="280"/>
      <c r="Y107" s="113"/>
      <c r="Z107" s="113"/>
      <c r="AA107" s="275"/>
      <c r="AB107" s="113" t="s">
        <v>3339</v>
      </c>
      <c r="AC107" s="113"/>
      <c r="AD107" s="113"/>
      <c r="AE107" s="133"/>
      <c r="AF107" s="115" t="s">
        <v>237</v>
      </c>
      <c r="AG107" s="133" t="s">
        <v>3340</v>
      </c>
      <c r="AH107" s="133"/>
      <c r="AI107" s="132">
        <f t="shared" si="32"/>
        <v>306011</v>
      </c>
      <c r="AJ107" s="132">
        <f t="shared" si="33"/>
        <v>306011</v>
      </c>
      <c r="AK107" s="133">
        <f t="shared" si="34"/>
        <v>0</v>
      </c>
      <c r="AL107" s="132"/>
      <c r="AM107" s="133"/>
      <c r="AN107" s="246">
        <v>44841</v>
      </c>
      <c r="AO107" s="137"/>
      <c r="AP107" s="97"/>
      <c r="AQ107" s="97"/>
      <c r="AR107" s="97"/>
      <c r="AS107" s="97"/>
      <c r="AT107" s="97"/>
      <c r="AU107" s="97"/>
      <c r="AV107" s="97"/>
      <c r="AW107" s="97"/>
      <c r="AX107" s="97"/>
      <c r="AY107" s="97"/>
      <c r="AZ107" s="97"/>
      <c r="BA107" s="97"/>
      <c r="BB107" s="97"/>
      <c r="BC107" s="97"/>
      <c r="BD107" s="97"/>
      <c r="BE107" s="97"/>
    </row>
    <row r="108" s="115" customFormat="1" customHeight="1" spans="1:57">
      <c r="A108" s="115" t="s">
        <v>3341</v>
      </c>
      <c r="B108" s="111" t="s">
        <v>3342</v>
      </c>
      <c r="C108" s="111"/>
      <c r="D108" s="121"/>
      <c r="E108" s="266"/>
      <c r="F108" s="267">
        <v>4</v>
      </c>
      <c r="G108" s="268"/>
      <c r="H108" s="268"/>
      <c r="I108" s="274"/>
      <c r="J108" s="113" t="s">
        <v>3343</v>
      </c>
      <c r="K108" s="266">
        <v>6</v>
      </c>
      <c r="L108" s="266"/>
      <c r="M108" s="275">
        <v>43460</v>
      </c>
      <c r="N108" s="113"/>
      <c r="O108" s="113"/>
      <c r="P108" s="113"/>
      <c r="Q108" s="113">
        <v>22087</v>
      </c>
      <c r="R108" s="113">
        <f>Q108*K108</f>
        <v>132522</v>
      </c>
      <c r="S108" s="280">
        <v>132522</v>
      </c>
      <c r="T108" s="281"/>
      <c r="U108" s="280"/>
      <c r="V108" s="280"/>
      <c r="W108" s="280"/>
      <c r="X108" s="280"/>
      <c r="Y108" s="113"/>
      <c r="Z108" s="113"/>
      <c r="AA108" s="275"/>
      <c r="AB108" s="113" t="s">
        <v>3308</v>
      </c>
      <c r="AC108" s="113"/>
      <c r="AD108" s="113"/>
      <c r="AE108" s="133"/>
      <c r="AF108" s="115" t="s">
        <v>123</v>
      </c>
      <c r="AG108" s="133" t="s">
        <v>160</v>
      </c>
      <c r="AH108" s="133"/>
      <c r="AI108" s="132">
        <f t="shared" si="32"/>
        <v>132522</v>
      </c>
      <c r="AJ108" s="132">
        <f t="shared" si="33"/>
        <v>132522</v>
      </c>
      <c r="AK108" s="133">
        <f t="shared" si="34"/>
        <v>0</v>
      </c>
      <c r="AL108" s="132"/>
      <c r="AM108" s="133"/>
      <c r="AN108" s="246">
        <v>44841</v>
      </c>
      <c r="AO108" s="137"/>
      <c r="AP108" s="97"/>
      <c r="AQ108" s="97"/>
      <c r="AR108" s="97"/>
      <c r="AS108" s="97"/>
      <c r="AT108" s="97"/>
      <c r="AU108" s="97"/>
      <c r="AV108" s="97"/>
      <c r="AW108" s="97"/>
      <c r="AX108" s="97"/>
      <c r="AY108" s="97"/>
      <c r="AZ108" s="97"/>
      <c r="BA108" s="97"/>
      <c r="BB108" s="97"/>
      <c r="BC108" s="97"/>
      <c r="BD108" s="97"/>
      <c r="BE108" s="97"/>
    </row>
    <row r="109" s="115" customFormat="1" customHeight="1" spans="1:57">
      <c r="A109" s="115" t="s">
        <v>3344</v>
      </c>
      <c r="B109" s="111" t="s">
        <v>3345</v>
      </c>
      <c r="C109" s="111" t="s">
        <v>3346</v>
      </c>
      <c r="D109" s="121" t="s">
        <v>3347</v>
      </c>
      <c r="E109" s="266">
        <v>18937128368</v>
      </c>
      <c r="F109" s="267">
        <v>3</v>
      </c>
      <c r="G109" s="268">
        <v>3496</v>
      </c>
      <c r="H109" s="268">
        <v>11.38</v>
      </c>
      <c r="I109" s="274" t="s">
        <v>2657</v>
      </c>
      <c r="J109" s="113" t="s">
        <v>3348</v>
      </c>
      <c r="K109" s="266">
        <v>10.37</v>
      </c>
      <c r="L109" s="266" t="s">
        <v>3349</v>
      </c>
      <c r="M109" s="275"/>
      <c r="N109" s="113" t="s">
        <v>66</v>
      </c>
      <c r="O109" s="113"/>
      <c r="P109" s="113"/>
      <c r="Q109" s="113"/>
      <c r="R109" s="113"/>
      <c r="S109" s="280">
        <v>20000</v>
      </c>
      <c r="T109" s="281">
        <v>-20000</v>
      </c>
      <c r="U109" s="280"/>
      <c r="V109" s="280"/>
      <c r="W109" s="280"/>
      <c r="X109" s="280"/>
      <c r="Y109" s="113"/>
      <c r="Z109" s="113"/>
      <c r="AA109" s="275"/>
      <c r="AB109" s="113"/>
      <c r="AC109" s="113"/>
      <c r="AD109" s="113"/>
      <c r="AE109" s="133"/>
      <c r="AG109" s="133"/>
      <c r="AH109" s="133"/>
      <c r="AI109" s="132">
        <f t="shared" ref="AI109:AI115" si="35">S109+U109+V109+W109+X109+AC109+AD109+AE109</f>
        <v>20000</v>
      </c>
      <c r="AJ109" s="132">
        <f t="shared" ref="AJ109:AJ115" si="36">S109+U109+V109+W109+X109</f>
        <v>20000</v>
      </c>
      <c r="AK109" s="133">
        <f t="shared" ref="AK109:AK115" si="37">AI109-AJ109</f>
        <v>0</v>
      </c>
      <c r="AL109" s="132"/>
      <c r="AM109" s="133"/>
      <c r="AN109" s="246">
        <v>44841</v>
      </c>
      <c r="AO109" s="137"/>
      <c r="AP109" s="97"/>
      <c r="AQ109" s="97"/>
      <c r="AR109" s="97"/>
      <c r="AS109" s="97"/>
      <c r="AT109" s="97"/>
      <c r="AU109" s="97"/>
      <c r="AV109" s="97"/>
      <c r="AW109" s="97"/>
      <c r="AX109" s="97"/>
      <c r="AY109" s="97"/>
      <c r="AZ109" s="97"/>
      <c r="BA109" s="97"/>
      <c r="BB109" s="97"/>
      <c r="BC109" s="97"/>
      <c r="BD109" s="97"/>
      <c r="BE109" s="97"/>
    </row>
    <row r="110" s="115" customFormat="1" customHeight="1" spans="1:57">
      <c r="A110" s="115" t="s">
        <v>3350</v>
      </c>
      <c r="B110" s="111" t="s">
        <v>3351</v>
      </c>
      <c r="C110" s="554" t="s">
        <v>3352</v>
      </c>
      <c r="D110" s="121" t="s">
        <v>3353</v>
      </c>
      <c r="E110" s="266">
        <v>13838215891</v>
      </c>
      <c r="F110" s="267">
        <v>4</v>
      </c>
      <c r="G110" s="268">
        <v>4257</v>
      </c>
      <c r="H110" s="268">
        <v>12.36</v>
      </c>
      <c r="I110" s="274" t="s">
        <v>2657</v>
      </c>
      <c r="J110" s="113" t="s">
        <v>3354</v>
      </c>
      <c r="K110" s="266">
        <v>11.56</v>
      </c>
      <c r="L110" s="266" t="s">
        <v>3355</v>
      </c>
      <c r="M110" s="275" t="s">
        <v>3356</v>
      </c>
      <c r="N110" s="113" t="s">
        <v>56</v>
      </c>
      <c r="O110" s="113"/>
      <c r="P110" s="113"/>
      <c r="Q110" s="113">
        <v>25748.62</v>
      </c>
      <c r="R110" s="113">
        <v>297654</v>
      </c>
      <c r="S110" s="280">
        <v>297654</v>
      </c>
      <c r="T110" s="281">
        <f t="shared" ref="T110:T116" si="38">R110-S110</f>
        <v>0</v>
      </c>
      <c r="U110" s="280"/>
      <c r="V110" s="280"/>
      <c r="W110" s="280"/>
      <c r="X110" s="280"/>
      <c r="Y110" s="113"/>
      <c r="Z110" s="113"/>
      <c r="AA110" s="275"/>
      <c r="AB110" s="113"/>
      <c r="AC110" s="113"/>
      <c r="AD110" s="113"/>
      <c r="AE110" s="133"/>
      <c r="AF110" s="115" t="s">
        <v>3075</v>
      </c>
      <c r="AG110" s="133"/>
      <c r="AH110" s="133"/>
      <c r="AI110" s="132">
        <f t="shared" si="35"/>
        <v>297654</v>
      </c>
      <c r="AJ110" s="132">
        <f t="shared" si="36"/>
        <v>297654</v>
      </c>
      <c r="AK110" s="133">
        <f t="shared" si="37"/>
        <v>0</v>
      </c>
      <c r="AL110" s="132" t="s">
        <v>3357</v>
      </c>
      <c r="AM110" s="133"/>
      <c r="AN110" s="246">
        <v>44841</v>
      </c>
      <c r="AO110" s="137"/>
      <c r="AP110" s="97"/>
      <c r="AQ110" s="97"/>
      <c r="AR110" s="97"/>
      <c r="AS110" s="97"/>
      <c r="AT110" s="97"/>
      <c r="AU110" s="97"/>
      <c r="AV110" s="97"/>
      <c r="AW110" s="97"/>
      <c r="AX110" s="97"/>
      <c r="AY110" s="97"/>
      <c r="AZ110" s="97"/>
      <c r="BA110" s="97"/>
      <c r="BB110" s="97"/>
      <c r="BC110" s="97"/>
      <c r="BD110" s="97"/>
      <c r="BE110" s="97"/>
    </row>
    <row r="111" s="115" customFormat="1" customHeight="1" spans="1:57">
      <c r="A111" s="115" t="s">
        <v>3358</v>
      </c>
      <c r="B111" s="111" t="s">
        <v>3359</v>
      </c>
      <c r="C111" s="554" t="s">
        <v>3360</v>
      </c>
      <c r="D111" s="121"/>
      <c r="E111" s="266">
        <v>13526750880</v>
      </c>
      <c r="F111" s="267">
        <v>1</v>
      </c>
      <c r="G111" s="268">
        <v>1731</v>
      </c>
      <c r="H111" s="268">
        <v>18.85</v>
      </c>
      <c r="I111" s="274" t="s">
        <v>2657</v>
      </c>
      <c r="J111" s="113" t="s">
        <v>3361</v>
      </c>
      <c r="K111" s="266">
        <v>18.29</v>
      </c>
      <c r="L111" s="266" t="s">
        <v>3362</v>
      </c>
      <c r="M111" s="275"/>
      <c r="N111" s="113" t="s">
        <v>66</v>
      </c>
      <c r="O111" s="113"/>
      <c r="P111" s="113"/>
      <c r="Q111" s="113"/>
      <c r="R111" s="113"/>
      <c r="S111" s="280">
        <v>20000</v>
      </c>
      <c r="T111" s="281">
        <f t="shared" si="38"/>
        <v>-20000</v>
      </c>
      <c r="U111" s="280"/>
      <c r="V111" s="280"/>
      <c r="W111" s="280"/>
      <c r="X111" s="280"/>
      <c r="Y111" s="113"/>
      <c r="Z111" s="113"/>
      <c r="AA111" s="275"/>
      <c r="AB111" s="113"/>
      <c r="AC111" s="113"/>
      <c r="AD111" s="113"/>
      <c r="AE111" s="133"/>
      <c r="AG111" s="133"/>
      <c r="AH111" s="133"/>
      <c r="AI111" s="132">
        <f t="shared" si="35"/>
        <v>20000</v>
      </c>
      <c r="AJ111" s="132">
        <f t="shared" si="36"/>
        <v>20000</v>
      </c>
      <c r="AK111" s="133">
        <f t="shared" si="37"/>
        <v>0</v>
      </c>
      <c r="AL111" s="132"/>
      <c r="AM111" s="133"/>
      <c r="AN111" s="246">
        <v>44841</v>
      </c>
      <c r="AO111" s="137"/>
      <c r="AP111" s="97"/>
      <c r="AQ111" s="97"/>
      <c r="AR111" s="97"/>
      <c r="AS111" s="97"/>
      <c r="AT111" s="97"/>
      <c r="AU111" s="97"/>
      <c r="AV111" s="97"/>
      <c r="AW111" s="97"/>
      <c r="AX111" s="97"/>
      <c r="AY111" s="97"/>
      <c r="AZ111" s="97"/>
      <c r="BA111" s="97"/>
      <c r="BB111" s="97"/>
      <c r="BC111" s="97"/>
      <c r="BD111" s="97"/>
      <c r="BE111" s="97"/>
    </row>
    <row r="112" s="115" customFormat="1" customHeight="1" spans="1:57">
      <c r="A112" s="115" t="s">
        <v>3363</v>
      </c>
      <c r="B112" s="111" t="s">
        <v>3364</v>
      </c>
      <c r="C112" s="111" t="s">
        <v>3365</v>
      </c>
      <c r="D112" s="121" t="s">
        <v>3366</v>
      </c>
      <c r="E112" s="266">
        <v>13503812850</v>
      </c>
      <c r="F112" s="267">
        <v>3</v>
      </c>
      <c r="G112" s="268">
        <v>3346</v>
      </c>
      <c r="H112" s="268">
        <v>22.79</v>
      </c>
      <c r="I112" s="274" t="s">
        <v>2657</v>
      </c>
      <c r="J112" s="113" t="s">
        <v>3367</v>
      </c>
      <c r="K112" s="266">
        <v>21.41</v>
      </c>
      <c r="L112" s="266" t="s">
        <v>3368</v>
      </c>
      <c r="M112" s="275" t="s">
        <v>3369</v>
      </c>
      <c r="N112" s="113" t="s">
        <v>66</v>
      </c>
      <c r="O112" s="113"/>
      <c r="P112" s="113"/>
      <c r="Q112" s="113">
        <v>31715.79</v>
      </c>
      <c r="R112" s="113">
        <v>679035</v>
      </c>
      <c r="S112" s="280">
        <v>349035</v>
      </c>
      <c r="T112" s="281">
        <f t="shared" si="38"/>
        <v>330000</v>
      </c>
      <c r="U112" s="280"/>
      <c r="V112" s="280"/>
      <c r="W112" s="280"/>
      <c r="X112" s="280"/>
      <c r="Y112" s="113"/>
      <c r="Z112" s="113"/>
      <c r="AA112" s="275"/>
      <c r="AB112" s="113"/>
      <c r="AC112" s="113"/>
      <c r="AD112" s="113"/>
      <c r="AE112" s="133"/>
      <c r="AF112" s="115" t="s">
        <v>237</v>
      </c>
      <c r="AG112" s="133" t="s">
        <v>3370</v>
      </c>
      <c r="AH112" s="133"/>
      <c r="AI112" s="132">
        <f t="shared" si="35"/>
        <v>349035</v>
      </c>
      <c r="AJ112" s="132">
        <f t="shared" si="36"/>
        <v>349035</v>
      </c>
      <c r="AK112" s="133">
        <f t="shared" si="37"/>
        <v>0</v>
      </c>
      <c r="AL112" s="132"/>
      <c r="AM112" s="133"/>
      <c r="AN112" s="246">
        <v>44841</v>
      </c>
      <c r="AO112" s="137"/>
      <c r="AP112" s="97"/>
      <c r="AQ112" s="97"/>
      <c r="AR112" s="97"/>
      <c r="AS112" s="97"/>
      <c r="AT112" s="97"/>
      <c r="AU112" s="97"/>
      <c r="AV112" s="97"/>
      <c r="AW112" s="97"/>
      <c r="AX112" s="97"/>
      <c r="AY112" s="97"/>
      <c r="AZ112" s="97"/>
      <c r="BA112" s="97"/>
      <c r="BB112" s="97"/>
      <c r="BC112" s="97"/>
      <c r="BD112" s="97"/>
      <c r="BE112" s="97"/>
    </row>
    <row r="113" s="115" customFormat="1" customHeight="1" spans="1:57">
      <c r="A113" s="115" t="s">
        <v>3371</v>
      </c>
      <c r="B113" s="111" t="s">
        <v>3372</v>
      </c>
      <c r="C113" s="554" t="s">
        <v>3373</v>
      </c>
      <c r="D113" s="121" t="s">
        <v>3374</v>
      </c>
      <c r="E113" s="266">
        <v>18003837933</v>
      </c>
      <c r="F113" s="267">
        <v>4</v>
      </c>
      <c r="G113" s="268">
        <v>443</v>
      </c>
      <c r="H113" s="268">
        <v>33.84</v>
      </c>
      <c r="I113" s="274" t="s">
        <v>2657</v>
      </c>
      <c r="J113" s="113" t="s">
        <v>3375</v>
      </c>
      <c r="K113" s="266">
        <v>28.54</v>
      </c>
      <c r="L113" s="266" t="s">
        <v>2954</v>
      </c>
      <c r="M113" s="275" t="s">
        <v>3376</v>
      </c>
      <c r="N113" s="113" t="s">
        <v>56</v>
      </c>
      <c r="O113" s="113"/>
      <c r="P113" s="113"/>
      <c r="Q113" s="113">
        <v>26011.32</v>
      </c>
      <c r="R113" s="113">
        <v>880223</v>
      </c>
      <c r="S113" s="280">
        <v>880223</v>
      </c>
      <c r="T113" s="281">
        <f t="shared" si="38"/>
        <v>0</v>
      </c>
      <c r="U113" s="280"/>
      <c r="V113" s="280">
        <v>2199</v>
      </c>
      <c r="W113" s="280">
        <v>550</v>
      </c>
      <c r="X113" s="280"/>
      <c r="Y113" s="113" t="s">
        <v>2669</v>
      </c>
      <c r="Z113" s="113"/>
      <c r="AA113" s="275"/>
      <c r="AB113" s="113"/>
      <c r="AC113" s="113"/>
      <c r="AD113" s="113"/>
      <c r="AE113" s="133"/>
      <c r="AG113" s="133"/>
      <c r="AH113" s="133"/>
      <c r="AI113" s="132">
        <f t="shared" si="35"/>
        <v>882972</v>
      </c>
      <c r="AJ113" s="132">
        <f t="shared" si="36"/>
        <v>882972</v>
      </c>
      <c r="AK113" s="133">
        <f t="shared" si="37"/>
        <v>0</v>
      </c>
      <c r="AL113" s="132"/>
      <c r="AM113" s="133"/>
      <c r="AN113" s="246">
        <v>44841</v>
      </c>
      <c r="AO113" s="137"/>
      <c r="AP113" s="97"/>
      <c r="AQ113" s="97"/>
      <c r="AR113" s="97"/>
      <c r="AS113" s="97"/>
      <c r="AT113" s="97"/>
      <c r="AU113" s="97"/>
      <c r="AV113" s="97"/>
      <c r="AW113" s="97"/>
      <c r="AX113" s="97"/>
      <c r="AY113" s="97"/>
      <c r="AZ113" s="97"/>
      <c r="BA113" s="97"/>
      <c r="BB113" s="97"/>
      <c r="BC113" s="97"/>
      <c r="BD113" s="97"/>
      <c r="BE113" s="97"/>
    </row>
    <row r="114" s="115" customFormat="1" customHeight="1" spans="1:57">
      <c r="A114" s="115" t="s">
        <v>3377</v>
      </c>
      <c r="B114" s="111" t="s">
        <v>3378</v>
      </c>
      <c r="C114" s="111" t="s">
        <v>3379</v>
      </c>
      <c r="D114" s="121" t="s">
        <v>3380</v>
      </c>
      <c r="E114" s="266">
        <v>13523056925</v>
      </c>
      <c r="F114" s="267">
        <v>3</v>
      </c>
      <c r="G114" s="268">
        <v>3227</v>
      </c>
      <c r="H114" s="268">
        <v>15.99</v>
      </c>
      <c r="I114" s="274" t="s">
        <v>2657</v>
      </c>
      <c r="J114" s="113" t="s">
        <v>3381</v>
      </c>
      <c r="K114" s="266">
        <v>17.96</v>
      </c>
      <c r="L114" s="266" t="s">
        <v>2955</v>
      </c>
      <c r="M114" s="275" t="s">
        <v>2835</v>
      </c>
      <c r="N114" s="113" t="s">
        <v>66</v>
      </c>
      <c r="O114" s="113"/>
      <c r="P114" s="113"/>
      <c r="Q114" s="113">
        <v>31748.11</v>
      </c>
      <c r="R114" s="113">
        <v>507652</v>
      </c>
      <c r="S114" s="280">
        <v>297652</v>
      </c>
      <c r="T114" s="281">
        <f t="shared" si="38"/>
        <v>210000</v>
      </c>
      <c r="U114" s="280"/>
      <c r="V114" s="280">
        <v>1039</v>
      </c>
      <c r="W114" s="280">
        <v>550</v>
      </c>
      <c r="X114" s="280"/>
      <c r="Y114" s="113" t="s">
        <v>2669</v>
      </c>
      <c r="Z114" s="113"/>
      <c r="AA114" s="275"/>
      <c r="AB114" s="113"/>
      <c r="AC114" s="113">
        <v>1241</v>
      </c>
      <c r="AD114" s="113"/>
      <c r="AE114" s="133"/>
      <c r="AG114" s="133"/>
      <c r="AH114" s="133"/>
      <c r="AI114" s="132">
        <f t="shared" si="35"/>
        <v>300482</v>
      </c>
      <c r="AJ114" s="132">
        <f t="shared" si="36"/>
        <v>299241</v>
      </c>
      <c r="AK114" s="133">
        <f t="shared" si="37"/>
        <v>1241</v>
      </c>
      <c r="AL114" s="132"/>
      <c r="AM114" s="133"/>
      <c r="AN114" s="246">
        <v>44841</v>
      </c>
      <c r="AO114" s="137"/>
      <c r="AP114" s="97"/>
      <c r="AQ114" s="97"/>
      <c r="AR114" s="97"/>
      <c r="AS114" s="97"/>
      <c r="AT114" s="97"/>
      <c r="AU114" s="97"/>
      <c r="AV114" s="97"/>
      <c r="AW114" s="97"/>
      <c r="AX114" s="97"/>
      <c r="AY114" s="97"/>
      <c r="AZ114" s="97"/>
      <c r="BA114" s="97"/>
      <c r="BB114" s="97"/>
      <c r="BC114" s="97"/>
      <c r="BD114" s="97"/>
      <c r="BE114" s="97"/>
    </row>
    <row r="115" s="115" customFormat="1" customHeight="1" spans="1:57">
      <c r="A115" s="115" t="s">
        <v>3382</v>
      </c>
      <c r="B115" s="111" t="s">
        <v>3383</v>
      </c>
      <c r="C115" s="554" t="s">
        <v>3384</v>
      </c>
      <c r="D115" s="121" t="s">
        <v>3385</v>
      </c>
      <c r="E115" s="266">
        <v>13393718406</v>
      </c>
      <c r="F115" s="267">
        <v>3</v>
      </c>
      <c r="G115" s="268">
        <v>3203</v>
      </c>
      <c r="H115" s="268">
        <v>18.75</v>
      </c>
      <c r="I115" s="274" t="s">
        <v>2665</v>
      </c>
      <c r="J115" s="113" t="s">
        <v>3386</v>
      </c>
      <c r="K115" s="266">
        <v>20.53</v>
      </c>
      <c r="L115" s="266" t="s">
        <v>3387</v>
      </c>
      <c r="M115" s="275" t="s">
        <v>3388</v>
      </c>
      <c r="N115" s="113" t="s">
        <v>66</v>
      </c>
      <c r="O115" s="113"/>
      <c r="P115" s="113"/>
      <c r="Q115" s="113">
        <v>31305.55</v>
      </c>
      <c r="R115" s="113">
        <v>642703</v>
      </c>
      <c r="S115" s="280">
        <v>337703</v>
      </c>
      <c r="T115" s="281">
        <f t="shared" si="38"/>
        <v>305000</v>
      </c>
      <c r="U115" s="280"/>
      <c r="V115" s="280"/>
      <c r="W115" s="280"/>
      <c r="X115" s="280"/>
      <c r="Y115" s="113"/>
      <c r="Z115" s="113"/>
      <c r="AA115" s="275"/>
      <c r="AB115" s="113"/>
      <c r="AC115" s="113"/>
      <c r="AD115" s="113"/>
      <c r="AE115" s="133"/>
      <c r="AG115" s="133"/>
      <c r="AH115" s="133"/>
      <c r="AI115" s="132">
        <f t="shared" si="35"/>
        <v>337703</v>
      </c>
      <c r="AJ115" s="132">
        <f t="shared" si="36"/>
        <v>337703</v>
      </c>
      <c r="AK115" s="133">
        <f t="shared" si="37"/>
        <v>0</v>
      </c>
      <c r="AL115" s="132"/>
      <c r="AM115" s="133"/>
      <c r="AN115" s="246">
        <v>44841</v>
      </c>
      <c r="AO115" s="137"/>
      <c r="AP115" s="97"/>
      <c r="AQ115" s="97"/>
      <c r="AR115" s="97"/>
      <c r="AS115" s="97"/>
      <c r="AT115" s="97"/>
      <c r="AU115" s="97"/>
      <c r="AV115" s="97"/>
      <c r="AW115" s="97"/>
      <c r="AX115" s="97"/>
      <c r="AY115" s="97"/>
      <c r="AZ115" s="97"/>
      <c r="BA115" s="97"/>
      <c r="BB115" s="97"/>
      <c r="BC115" s="97"/>
      <c r="BD115" s="97"/>
      <c r="BE115" s="97"/>
    </row>
    <row r="116" s="115" customFormat="1" customHeight="1" spans="1:57">
      <c r="A116" s="115" t="s">
        <v>3389</v>
      </c>
      <c r="B116" s="111" t="s">
        <v>3390</v>
      </c>
      <c r="C116" s="111" t="s">
        <v>3391</v>
      </c>
      <c r="D116" s="121" t="s">
        <v>3392</v>
      </c>
      <c r="E116" s="266">
        <v>13683818994</v>
      </c>
      <c r="F116" s="267">
        <v>4</v>
      </c>
      <c r="G116" s="268">
        <v>4221</v>
      </c>
      <c r="H116" s="268">
        <v>25.8</v>
      </c>
      <c r="I116" s="274" t="s">
        <v>2657</v>
      </c>
      <c r="J116" s="113" t="s">
        <v>3393</v>
      </c>
      <c r="K116" s="266">
        <v>21.98</v>
      </c>
      <c r="L116" s="266" t="s">
        <v>2659</v>
      </c>
      <c r="M116" s="275" t="s">
        <v>2807</v>
      </c>
      <c r="N116" s="113" t="s">
        <v>66</v>
      </c>
      <c r="O116" s="113"/>
      <c r="P116" s="113"/>
      <c r="Q116" s="113">
        <v>26034.9</v>
      </c>
      <c r="R116" s="113">
        <v>572247</v>
      </c>
      <c r="S116" s="280">
        <v>292247</v>
      </c>
      <c r="T116" s="281">
        <f t="shared" si="38"/>
        <v>280000</v>
      </c>
      <c r="U116" s="280"/>
      <c r="V116" s="280"/>
      <c r="W116" s="280"/>
      <c r="X116" s="280"/>
      <c r="Y116" s="113" t="s">
        <v>2669</v>
      </c>
      <c r="Z116" s="113"/>
      <c r="AA116" s="275"/>
      <c r="AB116" s="113"/>
      <c r="AC116" s="113"/>
      <c r="AD116" s="113"/>
      <c r="AE116" s="133">
        <f>29672+1677+550</f>
        <v>31899</v>
      </c>
      <c r="AG116" s="133"/>
      <c r="AH116" s="133"/>
      <c r="AI116" s="132">
        <f t="shared" ref="AI116:AI127" si="39">S116+U116+V116+W116+X116+AC116+AD116+AE116</f>
        <v>324146</v>
      </c>
      <c r="AJ116" s="132">
        <f t="shared" ref="AJ116:AJ127" si="40">S116+U116+V116+W116+X116</f>
        <v>292247</v>
      </c>
      <c r="AK116" s="133">
        <f t="shared" ref="AK116:AK127" si="41">AI116-AJ116</f>
        <v>31899</v>
      </c>
      <c r="AL116" s="132" t="s">
        <v>3394</v>
      </c>
      <c r="AM116" s="133"/>
      <c r="AN116" s="246">
        <v>44841</v>
      </c>
      <c r="AO116" s="137" t="s">
        <v>3395</v>
      </c>
      <c r="AP116" s="97"/>
      <c r="AQ116" s="97"/>
      <c r="AR116" s="97"/>
      <c r="AS116" s="97"/>
      <c r="AT116" s="97"/>
      <c r="AU116" s="97"/>
      <c r="AV116" s="97"/>
      <c r="AW116" s="97"/>
      <c r="AX116" s="97"/>
      <c r="AY116" s="97"/>
      <c r="AZ116" s="97"/>
      <c r="BA116" s="97"/>
      <c r="BB116" s="97"/>
      <c r="BC116" s="97"/>
      <c r="BD116" s="97"/>
      <c r="BE116" s="97"/>
    </row>
    <row r="117" s="115" customFormat="1" customHeight="1" spans="1:57">
      <c r="A117" s="115" t="s">
        <v>3396</v>
      </c>
      <c r="B117" s="111" t="s">
        <v>121</v>
      </c>
      <c r="C117" s="111" t="s">
        <v>3397</v>
      </c>
      <c r="D117" s="121" t="s">
        <v>3398</v>
      </c>
      <c r="E117" s="266" t="s">
        <v>3399</v>
      </c>
      <c r="F117" s="267">
        <v>4</v>
      </c>
      <c r="G117" s="268">
        <v>4163</v>
      </c>
      <c r="H117" s="268">
        <v>22.25</v>
      </c>
      <c r="I117" s="274" t="s">
        <v>2665</v>
      </c>
      <c r="J117" s="113" t="s">
        <v>3400</v>
      </c>
      <c r="K117" s="266">
        <v>21.23</v>
      </c>
      <c r="L117" s="266" t="s">
        <v>3401</v>
      </c>
      <c r="M117" s="275" t="s">
        <v>3402</v>
      </c>
      <c r="N117" s="113" t="s">
        <v>56</v>
      </c>
      <c r="O117" s="113"/>
      <c r="P117" s="113"/>
      <c r="Q117" s="113">
        <v>24531.28</v>
      </c>
      <c r="R117" s="113">
        <v>545821</v>
      </c>
      <c r="S117" s="280">
        <v>545821</v>
      </c>
      <c r="T117" s="281">
        <v>0</v>
      </c>
      <c r="U117" s="280"/>
      <c r="V117" s="280">
        <v>1446</v>
      </c>
      <c r="W117" s="280">
        <v>550</v>
      </c>
      <c r="X117" s="280"/>
      <c r="Y117" s="113" t="s">
        <v>2669</v>
      </c>
      <c r="Z117" s="113"/>
      <c r="AA117" s="275"/>
      <c r="AB117" s="113"/>
      <c r="AC117" s="113"/>
      <c r="AD117" s="113"/>
      <c r="AE117" s="133"/>
      <c r="AG117" s="133"/>
      <c r="AH117" s="133"/>
      <c r="AI117" s="132">
        <f t="shared" si="39"/>
        <v>547817</v>
      </c>
      <c r="AJ117" s="132">
        <f t="shared" si="40"/>
        <v>547817</v>
      </c>
      <c r="AK117" s="133">
        <f t="shared" si="41"/>
        <v>0</v>
      </c>
      <c r="AL117" s="132"/>
      <c r="AM117" s="133"/>
      <c r="AN117" s="246">
        <v>44841</v>
      </c>
      <c r="AO117" s="137"/>
      <c r="AP117" s="97"/>
      <c r="AQ117" s="97"/>
      <c r="AR117" s="97"/>
      <c r="AS117" s="97"/>
      <c r="AT117" s="97"/>
      <c r="AU117" s="97"/>
      <c r="AV117" s="97"/>
      <c r="AW117" s="97"/>
      <c r="AX117" s="97"/>
      <c r="AY117" s="97"/>
      <c r="AZ117" s="97"/>
      <c r="BA117" s="97"/>
      <c r="BB117" s="97"/>
      <c r="BC117" s="97"/>
      <c r="BD117" s="97"/>
      <c r="BE117" s="97"/>
    </row>
    <row r="118" s="115" customFormat="1" customHeight="1" spans="1:57">
      <c r="A118" s="115" t="s">
        <v>3403</v>
      </c>
      <c r="B118" s="111" t="s">
        <v>3404</v>
      </c>
      <c r="C118" s="554" t="s">
        <v>3405</v>
      </c>
      <c r="D118" s="121" t="s">
        <v>3406</v>
      </c>
      <c r="E118" s="266">
        <v>13103820189</v>
      </c>
      <c r="F118" s="267">
        <v>4</v>
      </c>
      <c r="G118" s="268">
        <v>4313</v>
      </c>
      <c r="H118" s="268">
        <v>36.62</v>
      </c>
      <c r="I118" s="274" t="s">
        <v>2657</v>
      </c>
      <c r="J118" s="113" t="s">
        <v>3407</v>
      </c>
      <c r="K118" s="266">
        <v>21.29</v>
      </c>
      <c r="L118" s="266" t="s">
        <v>3408</v>
      </c>
      <c r="M118" s="275" t="s">
        <v>3409</v>
      </c>
      <c r="N118" s="113" t="s">
        <v>66</v>
      </c>
      <c r="O118" s="113"/>
      <c r="P118" s="113"/>
      <c r="Q118" s="113">
        <v>26042.56</v>
      </c>
      <c r="R118" s="113">
        <v>953679</v>
      </c>
      <c r="S118" s="280">
        <v>493679</v>
      </c>
      <c r="T118" s="281">
        <v>460000</v>
      </c>
      <c r="U118" s="280"/>
      <c r="V118" s="280">
        <v>2380</v>
      </c>
      <c r="W118" s="280">
        <v>560</v>
      </c>
      <c r="X118" s="280"/>
      <c r="Y118" s="113"/>
      <c r="Z118" s="113"/>
      <c r="AA118" s="275"/>
      <c r="AB118" s="113"/>
      <c r="AC118" s="113"/>
      <c r="AD118" s="113"/>
      <c r="AE118" s="133"/>
      <c r="AG118" s="133"/>
      <c r="AH118" s="133"/>
      <c r="AI118" s="132">
        <f t="shared" si="39"/>
        <v>496619</v>
      </c>
      <c r="AJ118" s="132">
        <f t="shared" si="40"/>
        <v>496619</v>
      </c>
      <c r="AK118" s="133">
        <f t="shared" si="41"/>
        <v>0</v>
      </c>
      <c r="AL118" s="132"/>
      <c r="AM118" s="133"/>
      <c r="AN118" s="246">
        <v>44841</v>
      </c>
      <c r="AO118" s="137"/>
      <c r="AP118" s="97"/>
      <c r="AQ118" s="97"/>
      <c r="AR118" s="97"/>
      <c r="AS118" s="97"/>
      <c r="AT118" s="97"/>
      <c r="AU118" s="97"/>
      <c r="AV118" s="97"/>
      <c r="AW118" s="97"/>
      <c r="AX118" s="97"/>
      <c r="AY118" s="97"/>
      <c r="AZ118" s="97"/>
      <c r="BA118" s="97"/>
      <c r="BB118" s="97"/>
      <c r="BC118" s="97"/>
      <c r="BD118" s="97"/>
      <c r="BE118" s="97"/>
    </row>
    <row r="119" s="115" customFormat="1" customHeight="1" spans="1:57">
      <c r="A119" s="115" t="s">
        <v>3410</v>
      </c>
      <c r="B119" s="111" t="s">
        <v>3411</v>
      </c>
      <c r="C119" s="111" t="s">
        <v>3412</v>
      </c>
      <c r="D119" s="121" t="s">
        <v>3413</v>
      </c>
      <c r="E119" s="266" t="s">
        <v>3414</v>
      </c>
      <c r="F119" s="267">
        <v>4</v>
      </c>
      <c r="G119" s="268">
        <v>4125</v>
      </c>
      <c r="H119" s="268">
        <v>24.88</v>
      </c>
      <c r="I119" s="274" t="s">
        <v>2665</v>
      </c>
      <c r="J119" s="113" t="s">
        <v>3415</v>
      </c>
      <c r="K119" s="266">
        <v>32.23</v>
      </c>
      <c r="L119" s="266" t="s">
        <v>2914</v>
      </c>
      <c r="M119" s="275" t="s">
        <v>2814</v>
      </c>
      <c r="N119" s="113" t="s">
        <v>56</v>
      </c>
      <c r="O119" s="113"/>
      <c r="P119" s="113"/>
      <c r="Q119" s="113">
        <v>20632.95</v>
      </c>
      <c r="R119" s="113">
        <v>513348</v>
      </c>
      <c r="S119" s="280">
        <v>513348</v>
      </c>
      <c r="T119" s="281">
        <v>0</v>
      </c>
      <c r="U119" s="280"/>
      <c r="V119" s="280">
        <v>1617</v>
      </c>
      <c r="W119" s="280">
        <v>550</v>
      </c>
      <c r="X119" s="280"/>
      <c r="Y119" s="113" t="s">
        <v>2669</v>
      </c>
      <c r="Z119" s="113" t="s">
        <v>48</v>
      </c>
      <c r="AA119" s="275">
        <v>44019</v>
      </c>
      <c r="AB119" s="113"/>
      <c r="AC119" s="113"/>
      <c r="AD119" s="113"/>
      <c r="AE119" s="133"/>
      <c r="AG119" s="133"/>
      <c r="AH119" s="133"/>
      <c r="AI119" s="132">
        <f t="shared" si="39"/>
        <v>515515</v>
      </c>
      <c r="AJ119" s="132">
        <f t="shared" si="40"/>
        <v>515515</v>
      </c>
      <c r="AK119" s="133">
        <f t="shared" si="41"/>
        <v>0</v>
      </c>
      <c r="AL119" s="132"/>
      <c r="AM119" s="133"/>
      <c r="AN119" s="246">
        <v>44841</v>
      </c>
      <c r="AO119" s="137"/>
      <c r="AP119" s="97"/>
      <c r="AQ119" s="97"/>
      <c r="AR119" s="97"/>
      <c r="AS119" s="97"/>
      <c r="AT119" s="97"/>
      <c r="AU119" s="97"/>
      <c r="AV119" s="97"/>
      <c r="AW119" s="97"/>
      <c r="AX119" s="97"/>
      <c r="AY119" s="97"/>
      <c r="AZ119" s="97"/>
      <c r="BA119" s="97"/>
      <c r="BB119" s="97"/>
      <c r="BC119" s="97"/>
      <c r="BD119" s="97"/>
      <c r="BE119" s="97"/>
    </row>
    <row r="120" s="115" customFormat="1" customHeight="1" spans="1:57">
      <c r="A120" s="115" t="s">
        <v>3416</v>
      </c>
      <c r="B120" s="111" t="s">
        <v>3411</v>
      </c>
      <c r="C120" s="111" t="s">
        <v>3412</v>
      </c>
      <c r="D120" s="121" t="s">
        <v>3413</v>
      </c>
      <c r="E120" s="266" t="s">
        <v>3417</v>
      </c>
      <c r="F120" s="267">
        <v>4</v>
      </c>
      <c r="G120" s="268">
        <v>4124</v>
      </c>
      <c r="H120" s="268">
        <v>24.88</v>
      </c>
      <c r="I120" s="274" t="s">
        <v>2665</v>
      </c>
      <c r="J120" s="113" t="s">
        <v>3418</v>
      </c>
      <c r="K120" s="266">
        <v>32.23</v>
      </c>
      <c r="L120" s="266" t="s">
        <v>2914</v>
      </c>
      <c r="M120" s="275" t="s">
        <v>2814</v>
      </c>
      <c r="N120" s="113" t="s">
        <v>56</v>
      </c>
      <c r="O120" s="113"/>
      <c r="P120" s="113"/>
      <c r="Q120" s="113">
        <v>20632.95</v>
      </c>
      <c r="R120" s="113">
        <v>513348</v>
      </c>
      <c r="S120" s="280">
        <v>513348</v>
      </c>
      <c r="T120" s="281">
        <v>0</v>
      </c>
      <c r="U120" s="280"/>
      <c r="V120" s="280">
        <v>1617</v>
      </c>
      <c r="W120" s="280">
        <v>550</v>
      </c>
      <c r="X120" s="280"/>
      <c r="Y120" s="113" t="s">
        <v>2669</v>
      </c>
      <c r="Z120" s="113" t="s">
        <v>48</v>
      </c>
      <c r="AA120" s="275">
        <v>44019</v>
      </c>
      <c r="AB120" s="113"/>
      <c r="AC120" s="113"/>
      <c r="AD120" s="113"/>
      <c r="AE120" s="133"/>
      <c r="AG120" s="133"/>
      <c r="AH120" s="133"/>
      <c r="AI120" s="132">
        <f t="shared" si="39"/>
        <v>515515</v>
      </c>
      <c r="AJ120" s="132">
        <f t="shared" si="40"/>
        <v>515515</v>
      </c>
      <c r="AK120" s="133">
        <f t="shared" si="41"/>
        <v>0</v>
      </c>
      <c r="AL120" s="132"/>
      <c r="AM120" s="133"/>
      <c r="AN120" s="246">
        <v>44841</v>
      </c>
      <c r="AO120" s="137"/>
      <c r="AP120" s="97"/>
      <c r="AQ120" s="97"/>
      <c r="AR120" s="97"/>
      <c r="AS120" s="97"/>
      <c r="AT120" s="97"/>
      <c r="AU120" s="97"/>
      <c r="AV120" s="97"/>
      <c r="AW120" s="97"/>
      <c r="AX120" s="97"/>
      <c r="AY120" s="97"/>
      <c r="AZ120" s="97"/>
      <c r="BA120" s="97"/>
      <c r="BB120" s="97"/>
      <c r="BC120" s="97"/>
      <c r="BD120" s="97"/>
      <c r="BE120" s="97"/>
    </row>
    <row r="121" s="115" customFormat="1" customHeight="1" spans="1:57">
      <c r="A121" s="115" t="s">
        <v>3419</v>
      </c>
      <c r="B121" s="111" t="s">
        <v>3411</v>
      </c>
      <c r="C121" s="111" t="s">
        <v>3412</v>
      </c>
      <c r="D121" s="121" t="s">
        <v>3413</v>
      </c>
      <c r="E121" s="266" t="s">
        <v>3417</v>
      </c>
      <c r="F121" s="267">
        <v>4</v>
      </c>
      <c r="G121" s="268">
        <v>4485</v>
      </c>
      <c r="H121" s="268">
        <v>13.95</v>
      </c>
      <c r="I121" s="274" t="s">
        <v>2665</v>
      </c>
      <c r="J121" s="113"/>
      <c r="K121" s="266"/>
      <c r="L121" s="266" t="s">
        <v>2814</v>
      </c>
      <c r="M121" s="275" t="s">
        <v>2814</v>
      </c>
      <c r="N121" s="113" t="s">
        <v>56</v>
      </c>
      <c r="O121" s="113"/>
      <c r="P121" s="113"/>
      <c r="Q121" s="113">
        <v>20632.95</v>
      </c>
      <c r="R121" s="113">
        <v>287830</v>
      </c>
      <c r="S121" s="280">
        <v>287830</v>
      </c>
      <c r="T121" s="281">
        <v>0</v>
      </c>
      <c r="U121" s="280"/>
      <c r="V121" s="280">
        <v>906</v>
      </c>
      <c r="W121" s="280">
        <v>550</v>
      </c>
      <c r="X121" s="280">
        <v>9684</v>
      </c>
      <c r="Y121" s="113" t="s">
        <v>2669</v>
      </c>
      <c r="Z121" s="113" t="s">
        <v>48</v>
      </c>
      <c r="AA121" s="275">
        <v>44019</v>
      </c>
      <c r="AB121" s="113"/>
      <c r="AC121" s="113"/>
      <c r="AD121" s="113"/>
      <c r="AE121" s="133"/>
      <c r="AG121" s="133"/>
      <c r="AH121" s="133"/>
      <c r="AI121" s="132">
        <f t="shared" si="39"/>
        <v>298970</v>
      </c>
      <c r="AJ121" s="132">
        <f t="shared" si="40"/>
        <v>298970</v>
      </c>
      <c r="AK121" s="133">
        <f t="shared" si="41"/>
        <v>0</v>
      </c>
      <c r="AL121" s="132"/>
      <c r="AM121" s="133"/>
      <c r="AN121" s="246">
        <v>44841</v>
      </c>
      <c r="AO121" s="137"/>
      <c r="AP121" s="97"/>
      <c r="AQ121" s="97"/>
      <c r="AR121" s="97"/>
      <c r="AS121" s="97"/>
      <c r="AT121" s="97"/>
      <c r="AU121" s="97"/>
      <c r="AV121" s="97"/>
      <c r="AW121" s="97"/>
      <c r="AX121" s="97"/>
      <c r="AY121" s="97"/>
      <c r="AZ121" s="97"/>
      <c r="BA121" s="97"/>
      <c r="BB121" s="97"/>
      <c r="BC121" s="97"/>
      <c r="BD121" s="97"/>
      <c r="BE121" s="97"/>
    </row>
    <row r="122" s="115" customFormat="1" customHeight="1" spans="1:57">
      <c r="A122" s="115" t="s">
        <v>3420</v>
      </c>
      <c r="B122" s="111" t="s">
        <v>3421</v>
      </c>
      <c r="C122" s="111" t="s">
        <v>3422</v>
      </c>
      <c r="D122" s="121" t="s">
        <v>3423</v>
      </c>
      <c r="E122" s="266">
        <v>18300661801</v>
      </c>
      <c r="F122" s="267">
        <v>1</v>
      </c>
      <c r="G122" s="268">
        <v>1800</v>
      </c>
      <c r="H122" s="268">
        <v>26.11</v>
      </c>
      <c r="I122" s="274" t="s">
        <v>2657</v>
      </c>
      <c r="J122" s="113" t="s">
        <v>3424</v>
      </c>
      <c r="K122" s="266">
        <v>26.48</v>
      </c>
      <c r="L122" s="266" t="s">
        <v>3425</v>
      </c>
      <c r="M122" s="275" t="s">
        <v>2763</v>
      </c>
      <c r="N122" s="113" t="s">
        <v>66</v>
      </c>
      <c r="O122" s="113"/>
      <c r="P122" s="113"/>
      <c r="Q122" s="113">
        <v>46883.8</v>
      </c>
      <c r="R122" s="113">
        <v>1224136</v>
      </c>
      <c r="S122" s="280">
        <v>624136</v>
      </c>
      <c r="T122" s="281">
        <v>600000</v>
      </c>
      <c r="U122" s="280"/>
      <c r="V122" s="280">
        <v>1697</v>
      </c>
      <c r="W122" s="280">
        <v>560</v>
      </c>
      <c r="X122" s="280"/>
      <c r="Y122" s="113" t="s">
        <v>2669</v>
      </c>
      <c r="Z122" s="113"/>
      <c r="AA122" s="275"/>
      <c r="AB122" s="113"/>
      <c r="AC122" s="113">
        <v>1280</v>
      </c>
      <c r="AD122" s="113"/>
      <c r="AE122" s="133"/>
      <c r="AF122" s="115" t="s">
        <v>2771</v>
      </c>
      <c r="AG122" s="133"/>
      <c r="AH122" s="133"/>
      <c r="AI122" s="132">
        <f t="shared" si="39"/>
        <v>627673</v>
      </c>
      <c r="AJ122" s="132">
        <f t="shared" si="40"/>
        <v>626393</v>
      </c>
      <c r="AK122" s="133">
        <f t="shared" si="41"/>
        <v>1280</v>
      </c>
      <c r="AL122" s="132"/>
      <c r="AM122" s="133"/>
      <c r="AN122" s="246">
        <v>44841</v>
      </c>
      <c r="AO122" s="137"/>
      <c r="AP122" s="97"/>
      <c r="AQ122" s="97"/>
      <c r="AR122" s="97"/>
      <c r="AS122" s="97"/>
      <c r="AT122" s="97"/>
      <c r="AU122" s="97"/>
      <c r="AV122" s="97"/>
      <c r="AW122" s="97"/>
      <c r="AX122" s="97"/>
      <c r="AY122" s="97"/>
      <c r="AZ122" s="97"/>
      <c r="BA122" s="97"/>
      <c r="BB122" s="97"/>
      <c r="BC122" s="97"/>
      <c r="BD122" s="97"/>
      <c r="BE122" s="97"/>
    </row>
    <row r="123" s="115" customFormat="1" customHeight="1" spans="1:57">
      <c r="A123" s="115" t="s">
        <v>3426</v>
      </c>
      <c r="B123" s="111" t="s">
        <v>3427</v>
      </c>
      <c r="C123" s="111" t="s">
        <v>3428</v>
      </c>
      <c r="D123" s="121" t="s">
        <v>3429</v>
      </c>
      <c r="E123" s="266" t="s">
        <v>3430</v>
      </c>
      <c r="F123" s="267">
        <v>3</v>
      </c>
      <c r="G123" s="268">
        <v>3309</v>
      </c>
      <c r="H123" s="268">
        <v>20.19</v>
      </c>
      <c r="I123" s="274" t="s">
        <v>2657</v>
      </c>
      <c r="J123" s="113" t="s">
        <v>3431</v>
      </c>
      <c r="K123" s="266">
        <v>15.03</v>
      </c>
      <c r="L123" s="266" t="s">
        <v>3432</v>
      </c>
      <c r="M123" s="275" t="s">
        <v>3433</v>
      </c>
      <c r="N123" s="113" t="s">
        <v>2677</v>
      </c>
      <c r="O123" s="113"/>
      <c r="P123" s="113"/>
      <c r="Q123" s="113">
        <v>32167.33</v>
      </c>
      <c r="R123" s="113">
        <v>483475</v>
      </c>
      <c r="S123" s="280">
        <v>363475</v>
      </c>
      <c r="T123" s="281">
        <v>120000</v>
      </c>
      <c r="U123" s="280"/>
      <c r="V123" s="280"/>
      <c r="W123" s="280"/>
      <c r="X123" s="280"/>
      <c r="Y123" s="113"/>
      <c r="Z123" s="113"/>
      <c r="AA123" s="275"/>
      <c r="AB123" s="113"/>
      <c r="AC123" s="113"/>
      <c r="AD123" s="113"/>
      <c r="AE123" s="133">
        <v>76</v>
      </c>
      <c r="AF123" s="115" t="s">
        <v>2771</v>
      </c>
      <c r="AG123" s="133"/>
      <c r="AH123" s="133"/>
      <c r="AI123" s="132">
        <f t="shared" si="39"/>
        <v>363551</v>
      </c>
      <c r="AJ123" s="132">
        <f t="shared" si="40"/>
        <v>363475</v>
      </c>
      <c r="AK123" s="133">
        <f t="shared" si="41"/>
        <v>76</v>
      </c>
      <c r="AL123" s="132" t="s">
        <v>3434</v>
      </c>
      <c r="AM123" s="133"/>
      <c r="AN123" s="246">
        <v>44841</v>
      </c>
      <c r="AO123" s="137" t="s">
        <v>3434</v>
      </c>
      <c r="AP123" s="97"/>
      <c r="AQ123" s="97"/>
      <c r="AR123" s="97"/>
      <c r="AS123" s="97"/>
      <c r="AT123" s="97"/>
      <c r="AU123" s="97"/>
      <c r="AV123" s="97"/>
      <c r="AW123" s="97"/>
      <c r="AX123" s="97"/>
      <c r="AY123" s="97"/>
      <c r="AZ123" s="97"/>
      <c r="BA123" s="97"/>
      <c r="BB123" s="97"/>
      <c r="BC123" s="97"/>
      <c r="BD123" s="97"/>
      <c r="BE123" s="97"/>
    </row>
    <row r="124" s="115" customFormat="1" customHeight="1" spans="1:57">
      <c r="A124" s="115" t="s">
        <v>3435</v>
      </c>
      <c r="B124" s="111" t="s">
        <v>3436</v>
      </c>
      <c r="C124" s="554" t="s">
        <v>3437</v>
      </c>
      <c r="D124" s="121" t="s">
        <v>3438</v>
      </c>
      <c r="E124" s="266">
        <v>13383826526</v>
      </c>
      <c r="F124" s="267">
        <v>4</v>
      </c>
      <c r="G124" s="268">
        <v>4248</v>
      </c>
      <c r="H124" s="268">
        <v>17.13</v>
      </c>
      <c r="I124" s="274" t="s">
        <v>2657</v>
      </c>
      <c r="J124" s="113" t="s">
        <v>3439</v>
      </c>
      <c r="K124" s="266">
        <v>16.2</v>
      </c>
      <c r="L124" s="266" t="s">
        <v>2691</v>
      </c>
      <c r="M124" s="275" t="s">
        <v>2668</v>
      </c>
      <c r="N124" s="113" t="s">
        <v>56</v>
      </c>
      <c r="O124" s="113"/>
      <c r="P124" s="113"/>
      <c r="Q124" s="113">
        <v>26338.89</v>
      </c>
      <c r="R124" s="113">
        <v>451185</v>
      </c>
      <c r="S124" s="280">
        <v>451185</v>
      </c>
      <c r="T124" s="281">
        <v>0</v>
      </c>
      <c r="U124" s="280"/>
      <c r="V124" s="280">
        <v>1113</v>
      </c>
      <c r="W124" s="280">
        <v>550</v>
      </c>
      <c r="X124" s="280"/>
      <c r="Y124" s="113" t="s">
        <v>2669</v>
      </c>
      <c r="Z124" s="113"/>
      <c r="AA124" s="275"/>
      <c r="AB124" s="113"/>
      <c r="AC124" s="113"/>
      <c r="AD124" s="113"/>
      <c r="AE124" s="133"/>
      <c r="AF124" s="115" t="s">
        <v>2771</v>
      </c>
      <c r="AG124" s="133"/>
      <c r="AH124" s="133"/>
      <c r="AI124" s="132">
        <f t="shared" si="39"/>
        <v>452848</v>
      </c>
      <c r="AJ124" s="132">
        <f t="shared" si="40"/>
        <v>452848</v>
      </c>
      <c r="AK124" s="133">
        <f t="shared" si="41"/>
        <v>0</v>
      </c>
      <c r="AL124" s="132"/>
      <c r="AM124" s="133"/>
      <c r="AN124" s="246">
        <v>44841</v>
      </c>
      <c r="AO124" s="137"/>
      <c r="AP124" s="97"/>
      <c r="AQ124" s="97"/>
      <c r="AR124" s="97"/>
      <c r="AS124" s="97"/>
      <c r="AT124" s="97"/>
      <c r="AU124" s="97"/>
      <c r="AV124" s="97"/>
      <c r="AW124" s="97"/>
      <c r="AX124" s="97"/>
      <c r="AY124" s="97"/>
      <c r="AZ124" s="97"/>
      <c r="BA124" s="97"/>
      <c r="BB124" s="97"/>
      <c r="BC124" s="97"/>
      <c r="BD124" s="97"/>
      <c r="BE124" s="97"/>
    </row>
    <row r="125" s="115" customFormat="1" customHeight="1" spans="1:57">
      <c r="A125" s="115" t="s">
        <v>3440</v>
      </c>
      <c r="B125" s="111" t="s">
        <v>3441</v>
      </c>
      <c r="C125" s="111" t="s">
        <v>3442</v>
      </c>
      <c r="D125" s="121" t="s">
        <v>3443</v>
      </c>
      <c r="E125" s="266">
        <v>18637153982</v>
      </c>
      <c r="F125" s="267">
        <v>3</v>
      </c>
      <c r="G125" s="268">
        <v>3207</v>
      </c>
      <c r="H125" s="268">
        <v>16.07</v>
      </c>
      <c r="I125" s="274" t="s">
        <v>2657</v>
      </c>
      <c r="J125" s="113" t="s">
        <v>3444</v>
      </c>
      <c r="K125" s="266">
        <v>16.46</v>
      </c>
      <c r="L125" s="266" t="s">
        <v>3445</v>
      </c>
      <c r="M125" s="275" t="s">
        <v>2691</v>
      </c>
      <c r="N125" s="113" t="s">
        <v>66</v>
      </c>
      <c r="O125" s="113"/>
      <c r="P125" s="113"/>
      <c r="Q125" s="113">
        <v>31972.05</v>
      </c>
      <c r="R125" s="113">
        <v>526260</v>
      </c>
      <c r="S125" s="280">
        <v>266260</v>
      </c>
      <c r="T125" s="281">
        <v>260000</v>
      </c>
      <c r="U125" s="280"/>
      <c r="V125" s="280"/>
      <c r="W125" s="280"/>
      <c r="X125" s="280"/>
      <c r="Y125" s="113"/>
      <c r="Z125" s="113"/>
      <c r="AA125" s="275"/>
      <c r="AB125" s="113"/>
      <c r="AC125" s="113"/>
      <c r="AD125" s="113"/>
      <c r="AE125" s="133"/>
      <c r="AG125" s="133"/>
      <c r="AH125" s="133"/>
      <c r="AI125" s="132">
        <f t="shared" si="39"/>
        <v>266260</v>
      </c>
      <c r="AJ125" s="132">
        <f t="shared" si="40"/>
        <v>266260</v>
      </c>
      <c r="AK125" s="133">
        <f t="shared" si="41"/>
        <v>0</v>
      </c>
      <c r="AL125" s="132"/>
      <c r="AM125" s="133"/>
      <c r="AN125" s="246">
        <v>44841</v>
      </c>
      <c r="AO125" s="137"/>
      <c r="AP125" s="97"/>
      <c r="AQ125" s="97"/>
      <c r="AR125" s="97"/>
      <c r="AS125" s="97"/>
      <c r="AT125" s="97"/>
      <c r="AU125" s="97"/>
      <c r="AV125" s="97"/>
      <c r="AW125" s="97"/>
      <c r="AX125" s="97"/>
      <c r="AY125" s="97"/>
      <c r="AZ125" s="97"/>
      <c r="BA125" s="97"/>
      <c r="BB125" s="97"/>
      <c r="BC125" s="97"/>
      <c r="BD125" s="97"/>
      <c r="BE125" s="97"/>
    </row>
    <row r="126" s="115" customFormat="1" customHeight="1" spans="1:57">
      <c r="A126" s="115" t="s">
        <v>3446</v>
      </c>
      <c r="B126" s="111" t="s">
        <v>3447</v>
      </c>
      <c r="C126" s="111" t="s">
        <v>3448</v>
      </c>
      <c r="D126" s="121" t="s">
        <v>3449</v>
      </c>
      <c r="E126" s="266" t="s">
        <v>3450</v>
      </c>
      <c r="F126" s="267">
        <v>2</v>
      </c>
      <c r="G126" s="268">
        <v>2215</v>
      </c>
      <c r="H126" s="268">
        <v>16.38</v>
      </c>
      <c r="I126" s="274" t="s">
        <v>2665</v>
      </c>
      <c r="J126" s="113" t="s">
        <v>3451</v>
      </c>
      <c r="K126" s="266">
        <v>20.53</v>
      </c>
      <c r="L126" s="266" t="s">
        <v>3452</v>
      </c>
      <c r="M126" s="275" t="s">
        <v>3453</v>
      </c>
      <c r="N126" s="113" t="s">
        <v>56</v>
      </c>
      <c r="O126" s="113"/>
      <c r="P126" s="113"/>
      <c r="Q126" s="113">
        <v>32700</v>
      </c>
      <c r="R126" s="113">
        <v>671331</v>
      </c>
      <c r="S126" s="280">
        <v>671331</v>
      </c>
      <c r="T126" s="281">
        <v>0</v>
      </c>
      <c r="U126" s="280"/>
      <c r="V126" s="280"/>
      <c r="W126" s="280"/>
      <c r="X126" s="280"/>
      <c r="Y126" s="113"/>
      <c r="Z126" s="113"/>
      <c r="AA126" s="275"/>
      <c r="AB126" s="113"/>
      <c r="AC126" s="113"/>
      <c r="AD126" s="113"/>
      <c r="AE126" s="133"/>
      <c r="AG126" s="133"/>
      <c r="AH126" s="133"/>
      <c r="AI126" s="132">
        <f t="shared" si="39"/>
        <v>671331</v>
      </c>
      <c r="AJ126" s="132">
        <f t="shared" si="40"/>
        <v>671331</v>
      </c>
      <c r="AK126" s="133">
        <f t="shared" si="41"/>
        <v>0</v>
      </c>
      <c r="AL126" s="132"/>
      <c r="AM126" s="133"/>
      <c r="AN126" s="246">
        <v>44841</v>
      </c>
      <c r="AO126" s="137"/>
      <c r="AP126" s="97"/>
      <c r="AQ126" s="97"/>
      <c r="AR126" s="97"/>
      <c r="AS126" s="97"/>
      <c r="AT126" s="97"/>
      <c r="AU126" s="97"/>
      <c r="AV126" s="97"/>
      <c r="AW126" s="97"/>
      <c r="AX126" s="97"/>
      <c r="AY126" s="97"/>
      <c r="AZ126" s="97"/>
      <c r="BA126" s="97"/>
      <c r="BB126" s="97"/>
      <c r="BC126" s="97"/>
      <c r="BD126" s="97"/>
      <c r="BE126" s="97"/>
    </row>
    <row r="127" s="115" customFormat="1" customHeight="1" spans="1:57">
      <c r="A127" s="115" t="s">
        <v>3454</v>
      </c>
      <c r="B127" s="111" t="s">
        <v>3455</v>
      </c>
      <c r="C127" s="554" t="s">
        <v>3456</v>
      </c>
      <c r="D127" s="121" t="s">
        <v>3457</v>
      </c>
      <c r="E127" s="266">
        <v>13253568337</v>
      </c>
      <c r="F127" s="267">
        <v>1</v>
      </c>
      <c r="G127" s="268">
        <v>1790</v>
      </c>
      <c r="H127" s="268">
        <v>15.32</v>
      </c>
      <c r="I127" s="274" t="s">
        <v>2657</v>
      </c>
      <c r="J127" s="113" t="s">
        <v>3458</v>
      </c>
      <c r="K127" s="266">
        <v>16.84</v>
      </c>
      <c r="L127" s="266" t="s">
        <v>3459</v>
      </c>
      <c r="M127" s="275" t="s">
        <v>2869</v>
      </c>
      <c r="N127" s="113" t="s">
        <v>66</v>
      </c>
      <c r="O127" s="113"/>
      <c r="P127" s="113"/>
      <c r="Q127" s="113">
        <v>47000</v>
      </c>
      <c r="R127" s="113">
        <v>720040</v>
      </c>
      <c r="S127" s="280">
        <v>410040</v>
      </c>
      <c r="T127" s="281">
        <v>310000</v>
      </c>
      <c r="U127" s="280"/>
      <c r="V127" s="280">
        <v>995</v>
      </c>
      <c r="W127" s="280">
        <v>550</v>
      </c>
      <c r="X127" s="280"/>
      <c r="Y127" s="113" t="s">
        <v>2669</v>
      </c>
      <c r="Z127" s="113"/>
      <c r="AA127" s="275"/>
      <c r="AB127" s="113" t="s">
        <v>3460</v>
      </c>
      <c r="AC127" s="113">
        <v>1251</v>
      </c>
      <c r="AD127" s="113"/>
      <c r="AE127" s="133"/>
      <c r="AG127" s="133"/>
      <c r="AH127" s="133"/>
      <c r="AI127" s="132">
        <f t="shared" si="39"/>
        <v>412836</v>
      </c>
      <c r="AJ127" s="132">
        <f t="shared" si="40"/>
        <v>411585</v>
      </c>
      <c r="AK127" s="133">
        <f t="shared" si="41"/>
        <v>1251</v>
      </c>
      <c r="AL127" s="132"/>
      <c r="AM127" s="133"/>
      <c r="AN127" s="246">
        <v>44841</v>
      </c>
      <c r="AO127" s="137"/>
      <c r="AP127" s="97"/>
      <c r="AQ127" s="97"/>
      <c r="AR127" s="97"/>
      <c r="AS127" s="97"/>
      <c r="AT127" s="97"/>
      <c r="AU127" s="97"/>
      <c r="AV127" s="97"/>
      <c r="AW127" s="97"/>
      <c r="AX127" s="97"/>
      <c r="AY127" s="97"/>
      <c r="AZ127" s="97"/>
      <c r="BA127" s="97"/>
      <c r="BB127" s="97"/>
      <c r="BC127" s="97"/>
      <c r="BD127" s="97"/>
      <c r="BE127" s="97"/>
    </row>
    <row r="128" s="115" customFormat="1" customHeight="1" spans="1:57">
      <c r="A128" s="115" t="s">
        <v>3461</v>
      </c>
      <c r="B128" s="111" t="s">
        <v>167</v>
      </c>
      <c r="C128" s="554" t="s">
        <v>3462</v>
      </c>
      <c r="D128" s="121" t="s">
        <v>3463</v>
      </c>
      <c r="E128" s="266">
        <v>13837187832</v>
      </c>
      <c r="F128" s="267">
        <v>3</v>
      </c>
      <c r="G128" s="268">
        <v>375</v>
      </c>
      <c r="H128" s="268">
        <v>38.07</v>
      </c>
      <c r="I128" s="274" t="s">
        <v>2665</v>
      </c>
      <c r="J128" s="113" t="s">
        <v>3464</v>
      </c>
      <c r="K128" s="266">
        <v>35.33</v>
      </c>
      <c r="L128" s="266" t="s">
        <v>3465</v>
      </c>
      <c r="M128" s="275" t="s">
        <v>3401</v>
      </c>
      <c r="N128" s="113" t="s">
        <v>56</v>
      </c>
      <c r="O128" s="113"/>
      <c r="P128" s="113"/>
      <c r="Q128" s="113">
        <v>24624.96</v>
      </c>
      <c r="R128" s="113">
        <v>870000</v>
      </c>
      <c r="S128" s="280">
        <v>870000</v>
      </c>
      <c r="T128" s="281">
        <v>0</v>
      </c>
      <c r="U128" s="280"/>
      <c r="V128" s="280"/>
      <c r="W128" s="280"/>
      <c r="X128" s="280"/>
      <c r="Y128" s="113"/>
      <c r="Z128" s="113"/>
      <c r="AA128" s="275"/>
      <c r="AB128" s="113"/>
      <c r="AC128" s="113"/>
      <c r="AD128" s="113"/>
      <c r="AE128" s="133"/>
      <c r="AG128" s="133"/>
      <c r="AH128" s="133"/>
      <c r="AI128" s="132">
        <f t="shared" ref="AI128:AI149" si="42">S128+U128+V128+W128+X128+AC128+AD128+AE128</f>
        <v>870000</v>
      </c>
      <c r="AJ128" s="132">
        <f t="shared" ref="AJ128:AJ149" si="43">S128+U128+V128+W128+X128</f>
        <v>870000</v>
      </c>
      <c r="AK128" s="133">
        <f t="shared" ref="AK128:AK149" si="44">AI128-AJ128</f>
        <v>0</v>
      </c>
      <c r="AL128" s="132"/>
      <c r="AM128" s="133"/>
      <c r="AN128" s="246">
        <v>44841</v>
      </c>
      <c r="AO128" s="137"/>
      <c r="AP128" s="97"/>
      <c r="AQ128" s="97"/>
      <c r="AR128" s="97"/>
      <c r="AS128" s="97"/>
      <c r="AT128" s="97"/>
      <c r="AU128" s="97"/>
      <c r="AV128" s="97"/>
      <c r="AW128" s="97"/>
      <c r="AX128" s="97"/>
      <c r="AY128" s="97"/>
      <c r="AZ128" s="97"/>
      <c r="BA128" s="97"/>
      <c r="BB128" s="97"/>
      <c r="BC128" s="97"/>
      <c r="BD128" s="97"/>
      <c r="BE128" s="97"/>
    </row>
    <row r="129" s="115" customFormat="1" customHeight="1" spans="1:57">
      <c r="A129" s="115" t="s">
        <v>3466</v>
      </c>
      <c r="B129" s="111" t="s">
        <v>3467</v>
      </c>
      <c r="C129" s="554" t="s">
        <v>3468</v>
      </c>
      <c r="D129" s="121" t="s">
        <v>3469</v>
      </c>
      <c r="E129" s="266">
        <v>13323935676</v>
      </c>
      <c r="F129" s="267">
        <v>4</v>
      </c>
      <c r="G129" s="268">
        <v>4476</v>
      </c>
      <c r="H129" s="268">
        <v>17.31</v>
      </c>
      <c r="I129" s="274" t="s">
        <v>2657</v>
      </c>
      <c r="J129" s="113" t="s">
        <v>3470</v>
      </c>
      <c r="K129" s="266">
        <v>15.82</v>
      </c>
      <c r="L129" s="266" t="s">
        <v>3471</v>
      </c>
      <c r="M129" s="275" t="s">
        <v>3472</v>
      </c>
      <c r="N129" s="113" t="s">
        <v>56</v>
      </c>
      <c r="O129" s="113"/>
      <c r="P129" s="113"/>
      <c r="Q129" s="113">
        <v>26864.73</v>
      </c>
      <c r="R129" s="113">
        <v>465028</v>
      </c>
      <c r="S129" s="280">
        <v>465028</v>
      </c>
      <c r="T129" s="281">
        <v>0</v>
      </c>
      <c r="U129" s="280"/>
      <c r="V129" s="280">
        <v>1125</v>
      </c>
      <c r="W129" s="280">
        <v>550</v>
      </c>
      <c r="X129" s="280"/>
      <c r="Y129" s="113" t="s">
        <v>2669</v>
      </c>
      <c r="Z129" s="113"/>
      <c r="AA129" s="275"/>
      <c r="AB129" s="113"/>
      <c r="AC129" s="113"/>
      <c r="AD129" s="113"/>
      <c r="AE129" s="133"/>
      <c r="AG129" s="133" t="s">
        <v>3473</v>
      </c>
      <c r="AH129" s="133"/>
      <c r="AI129" s="132">
        <f t="shared" si="42"/>
        <v>466703</v>
      </c>
      <c r="AJ129" s="132">
        <f t="shared" si="43"/>
        <v>466703</v>
      </c>
      <c r="AK129" s="133">
        <f t="shared" si="44"/>
        <v>0</v>
      </c>
      <c r="AL129" s="132"/>
      <c r="AM129" s="133"/>
      <c r="AN129" s="246">
        <v>44841</v>
      </c>
      <c r="AO129" s="137"/>
      <c r="AP129" s="97"/>
      <c r="AQ129" s="97"/>
      <c r="AR129" s="97"/>
      <c r="AS129" s="97"/>
      <c r="AT129" s="97"/>
      <c r="AU129" s="97"/>
      <c r="AV129" s="97"/>
      <c r="AW129" s="97"/>
      <c r="AX129" s="97"/>
      <c r="AY129" s="97"/>
      <c r="AZ129" s="97"/>
      <c r="BA129" s="97"/>
      <c r="BB129" s="97"/>
      <c r="BC129" s="97"/>
      <c r="BD129" s="97"/>
      <c r="BE129" s="97"/>
    </row>
    <row r="130" s="115" customFormat="1" customHeight="1" spans="1:57">
      <c r="A130" s="115" t="s">
        <v>3474</v>
      </c>
      <c r="B130" s="111" t="s">
        <v>3475</v>
      </c>
      <c r="C130" s="554" t="s">
        <v>3476</v>
      </c>
      <c r="D130" s="121" t="s">
        <v>3477</v>
      </c>
      <c r="E130" s="266">
        <v>13782509301</v>
      </c>
      <c r="F130" s="267">
        <v>4</v>
      </c>
      <c r="G130" s="268">
        <v>4398</v>
      </c>
      <c r="H130" s="268">
        <v>19.43</v>
      </c>
      <c r="I130" s="274" t="s">
        <v>2657</v>
      </c>
      <c r="J130" s="113" t="s">
        <v>3478</v>
      </c>
      <c r="K130" s="266">
        <v>17.93</v>
      </c>
      <c r="L130" s="266" t="s">
        <v>2954</v>
      </c>
      <c r="M130" s="275" t="s">
        <v>3001</v>
      </c>
      <c r="N130" s="113" t="s">
        <v>56</v>
      </c>
      <c r="O130" s="113"/>
      <c r="P130" s="113"/>
      <c r="Q130" s="113">
        <v>26021.92</v>
      </c>
      <c r="R130" s="113">
        <v>466573</v>
      </c>
      <c r="S130" s="280">
        <v>466573</v>
      </c>
      <c r="T130" s="281">
        <v>0</v>
      </c>
      <c r="U130" s="280"/>
      <c r="V130" s="280"/>
      <c r="W130" s="280"/>
      <c r="X130" s="280"/>
      <c r="Y130" s="113"/>
      <c r="Z130" s="113"/>
      <c r="AA130" s="275"/>
      <c r="AB130" s="113"/>
      <c r="AC130" s="113"/>
      <c r="AD130" s="113"/>
      <c r="AE130" s="133"/>
      <c r="AF130" s="115" t="s">
        <v>2771</v>
      </c>
      <c r="AG130" s="133"/>
      <c r="AH130" s="133"/>
      <c r="AI130" s="132">
        <f t="shared" si="42"/>
        <v>466573</v>
      </c>
      <c r="AJ130" s="132">
        <f t="shared" si="43"/>
        <v>466573</v>
      </c>
      <c r="AK130" s="133">
        <f t="shared" si="44"/>
        <v>0</v>
      </c>
      <c r="AL130" s="132"/>
      <c r="AM130" s="133"/>
      <c r="AN130" s="246">
        <v>44841</v>
      </c>
      <c r="AO130" s="137"/>
      <c r="AP130" s="97"/>
      <c r="AQ130" s="97"/>
      <c r="AR130" s="97"/>
      <c r="AS130" s="97"/>
      <c r="AT130" s="97"/>
      <c r="AU130" s="97"/>
      <c r="AV130" s="97"/>
      <c r="AW130" s="97"/>
      <c r="AX130" s="97"/>
      <c r="AY130" s="97"/>
      <c r="AZ130" s="97"/>
      <c r="BA130" s="97"/>
      <c r="BB130" s="97"/>
      <c r="BC130" s="97"/>
      <c r="BD130" s="97"/>
      <c r="BE130" s="97"/>
    </row>
    <row r="131" s="115" customFormat="1" customHeight="1" spans="1:57">
      <c r="A131" s="115" t="s">
        <v>3479</v>
      </c>
      <c r="B131" s="111" t="s">
        <v>3480</v>
      </c>
      <c r="C131" s="554" t="s">
        <v>3481</v>
      </c>
      <c r="D131" s="121" t="s">
        <v>3482</v>
      </c>
      <c r="E131" s="266">
        <v>18638928669</v>
      </c>
      <c r="F131" s="267">
        <v>1</v>
      </c>
      <c r="G131" s="268">
        <v>1531</v>
      </c>
      <c r="H131" s="268">
        <v>11.3</v>
      </c>
      <c r="I131" s="274" t="s">
        <v>2657</v>
      </c>
      <c r="J131" s="113" t="s">
        <v>3483</v>
      </c>
      <c r="K131" s="266">
        <v>11.58</v>
      </c>
      <c r="L131" s="266" t="s">
        <v>3408</v>
      </c>
      <c r="M131" s="275" t="s">
        <v>3484</v>
      </c>
      <c r="N131" s="113" t="s">
        <v>66</v>
      </c>
      <c r="O131" s="113"/>
      <c r="P131" s="113"/>
      <c r="Q131" s="113">
        <v>46200.35</v>
      </c>
      <c r="R131" s="113">
        <v>522064</v>
      </c>
      <c r="S131" s="280">
        <v>382064</v>
      </c>
      <c r="T131" s="281">
        <v>140000</v>
      </c>
      <c r="U131" s="280"/>
      <c r="V131" s="280">
        <v>734</v>
      </c>
      <c r="W131" s="280">
        <v>550</v>
      </c>
      <c r="X131" s="280"/>
      <c r="Y131" s="113"/>
      <c r="Z131" s="113"/>
      <c r="AA131" s="275"/>
      <c r="AB131" s="113"/>
      <c r="AC131" s="113">
        <v>1234</v>
      </c>
      <c r="AD131" s="113"/>
      <c r="AE131" s="133"/>
      <c r="AG131" s="133"/>
      <c r="AH131" s="133"/>
      <c r="AI131" s="132">
        <f t="shared" si="42"/>
        <v>384582</v>
      </c>
      <c r="AJ131" s="132">
        <f t="shared" si="43"/>
        <v>383348</v>
      </c>
      <c r="AK131" s="133">
        <f t="shared" si="44"/>
        <v>1234</v>
      </c>
      <c r="AL131" s="132"/>
      <c r="AM131" s="133"/>
      <c r="AN131" s="246">
        <v>44841</v>
      </c>
      <c r="AO131" s="137"/>
      <c r="AP131" s="97"/>
      <c r="AQ131" s="97"/>
      <c r="AR131" s="97"/>
      <c r="AS131" s="97"/>
      <c r="AT131" s="97"/>
      <c r="AU131" s="97"/>
      <c r="AV131" s="97"/>
      <c r="AW131" s="97"/>
      <c r="AX131" s="97"/>
      <c r="AY131" s="97"/>
      <c r="AZ131" s="97"/>
      <c r="BA131" s="97"/>
      <c r="BB131" s="97"/>
      <c r="BC131" s="97"/>
      <c r="BD131" s="97"/>
      <c r="BE131" s="97"/>
    </row>
    <row r="132" s="115" customFormat="1" customHeight="1" spans="1:57">
      <c r="A132" s="115" t="s">
        <v>3485</v>
      </c>
      <c r="B132" s="111" t="s">
        <v>3486</v>
      </c>
      <c r="C132" s="554" t="s">
        <v>3487</v>
      </c>
      <c r="D132" s="121" t="s">
        <v>3488</v>
      </c>
      <c r="E132" s="266">
        <v>13673601136</v>
      </c>
      <c r="F132" s="267">
        <v>1</v>
      </c>
      <c r="G132" s="268">
        <v>1676</v>
      </c>
      <c r="H132" s="268">
        <v>16.07</v>
      </c>
      <c r="I132" s="274" t="s">
        <v>2657</v>
      </c>
      <c r="J132" s="113" t="s">
        <v>3489</v>
      </c>
      <c r="K132" s="266">
        <v>17.18</v>
      </c>
      <c r="L132" s="266" t="s">
        <v>3490</v>
      </c>
      <c r="M132" s="275" t="s">
        <v>3491</v>
      </c>
      <c r="N132" s="113" t="s">
        <v>66</v>
      </c>
      <c r="O132" s="113"/>
      <c r="P132" s="113"/>
      <c r="Q132" s="113">
        <v>47506.58</v>
      </c>
      <c r="R132" s="113">
        <v>816163</v>
      </c>
      <c r="S132" s="280">
        <v>416163</v>
      </c>
      <c r="T132" s="281">
        <v>400000</v>
      </c>
      <c r="U132" s="280"/>
      <c r="V132" s="280"/>
      <c r="W132" s="280"/>
      <c r="X132" s="280"/>
      <c r="Y132" s="113"/>
      <c r="Z132" s="113"/>
      <c r="AA132" s="275"/>
      <c r="AB132" s="113"/>
      <c r="AC132" s="113"/>
      <c r="AD132" s="113"/>
      <c r="AE132" s="133"/>
      <c r="AG132" s="133"/>
      <c r="AH132" s="133"/>
      <c r="AI132" s="132">
        <f t="shared" si="42"/>
        <v>416163</v>
      </c>
      <c r="AJ132" s="132">
        <f t="shared" si="43"/>
        <v>416163</v>
      </c>
      <c r="AK132" s="133">
        <f t="shared" si="44"/>
        <v>0</v>
      </c>
      <c r="AL132" s="132"/>
      <c r="AM132" s="133"/>
      <c r="AN132" s="246">
        <v>44841</v>
      </c>
      <c r="AO132" s="137"/>
      <c r="AP132" s="97"/>
      <c r="AQ132" s="97"/>
      <c r="AR132" s="97"/>
      <c r="AS132" s="97"/>
      <c r="AT132" s="97"/>
      <c r="AU132" s="97"/>
      <c r="AV132" s="97"/>
      <c r="AW132" s="97"/>
      <c r="AX132" s="97"/>
      <c r="AY132" s="97"/>
      <c r="AZ132" s="97"/>
      <c r="BA132" s="97"/>
      <c r="BB132" s="97"/>
      <c r="BC132" s="97"/>
      <c r="BD132" s="97"/>
      <c r="BE132" s="97"/>
    </row>
    <row r="133" s="115" customFormat="1" customHeight="1" spans="1:57">
      <c r="A133" s="115" t="s">
        <v>3492</v>
      </c>
      <c r="B133" s="111" t="s">
        <v>3493</v>
      </c>
      <c r="C133" s="554" t="s">
        <v>3494</v>
      </c>
      <c r="D133" s="121" t="s">
        <v>3495</v>
      </c>
      <c r="E133" s="266">
        <v>13838245686</v>
      </c>
      <c r="F133" s="267">
        <v>1</v>
      </c>
      <c r="G133" s="268">
        <v>1779</v>
      </c>
      <c r="H133" s="268">
        <v>13.55</v>
      </c>
      <c r="I133" s="274" t="s">
        <v>2657</v>
      </c>
      <c r="J133" s="113" t="s">
        <v>3496</v>
      </c>
      <c r="K133" s="266">
        <v>13.79</v>
      </c>
      <c r="L133" s="266" t="s">
        <v>3497</v>
      </c>
      <c r="M133" s="275" t="s">
        <v>3125</v>
      </c>
      <c r="N133" s="113" t="s">
        <v>66</v>
      </c>
      <c r="O133" s="113"/>
      <c r="P133" s="113"/>
      <c r="Q133" s="113">
        <v>47611.02</v>
      </c>
      <c r="R133" s="113">
        <v>656556</v>
      </c>
      <c r="S133" s="280">
        <v>336556</v>
      </c>
      <c r="T133" s="281">
        <v>320000</v>
      </c>
      <c r="U133" s="280"/>
      <c r="V133" s="280"/>
      <c r="W133" s="280"/>
      <c r="X133" s="280"/>
      <c r="Y133" s="113"/>
      <c r="Z133" s="113"/>
      <c r="AA133" s="275"/>
      <c r="AB133" s="113"/>
      <c r="AC133" s="113"/>
      <c r="AD133" s="113"/>
      <c r="AE133" s="133"/>
      <c r="AF133" s="115" t="s">
        <v>123</v>
      </c>
      <c r="AG133" s="133" t="s">
        <v>160</v>
      </c>
      <c r="AH133" s="133"/>
      <c r="AI133" s="132">
        <f t="shared" si="42"/>
        <v>336556</v>
      </c>
      <c r="AJ133" s="132">
        <f t="shared" si="43"/>
        <v>336556</v>
      </c>
      <c r="AK133" s="133">
        <f t="shared" si="44"/>
        <v>0</v>
      </c>
      <c r="AL133" s="132"/>
      <c r="AM133" s="133"/>
      <c r="AN133" s="246">
        <v>44841</v>
      </c>
      <c r="AO133" s="137"/>
      <c r="AP133" s="97"/>
      <c r="AQ133" s="97"/>
      <c r="AR133" s="97"/>
      <c r="AS133" s="97"/>
      <c r="AT133" s="97"/>
      <c r="AU133" s="97"/>
      <c r="AV133" s="97"/>
      <c r="AW133" s="97"/>
      <c r="AX133" s="97"/>
      <c r="AY133" s="97"/>
      <c r="AZ133" s="97"/>
      <c r="BA133" s="97"/>
      <c r="BB133" s="97"/>
      <c r="BC133" s="97"/>
      <c r="BD133" s="97"/>
      <c r="BE133" s="97"/>
    </row>
    <row r="134" s="115" customFormat="1" customHeight="1" spans="1:57">
      <c r="A134" s="115" t="s">
        <v>3498</v>
      </c>
      <c r="B134" s="111" t="s">
        <v>3499</v>
      </c>
      <c r="C134" s="111" t="s">
        <v>3500</v>
      </c>
      <c r="D134" s="121" t="s">
        <v>3501</v>
      </c>
      <c r="E134" s="266">
        <v>15890091792</v>
      </c>
      <c r="F134" s="267">
        <v>3</v>
      </c>
      <c r="G134" s="268">
        <v>3152</v>
      </c>
      <c r="H134" s="268">
        <v>33.41</v>
      </c>
      <c r="I134" s="274" t="s">
        <v>2657</v>
      </c>
      <c r="J134" s="113" t="s">
        <v>3502</v>
      </c>
      <c r="K134" s="266">
        <v>32.97</v>
      </c>
      <c r="L134" s="266" t="s">
        <v>2975</v>
      </c>
      <c r="M134" s="275" t="s">
        <v>3503</v>
      </c>
      <c r="N134" s="113" t="s">
        <v>56</v>
      </c>
      <c r="O134" s="113"/>
      <c r="P134" s="113"/>
      <c r="Q134" s="113">
        <v>29723.99</v>
      </c>
      <c r="R134" s="113">
        <v>993079</v>
      </c>
      <c r="S134" s="280">
        <v>993079</v>
      </c>
      <c r="T134" s="281">
        <v>0</v>
      </c>
      <c r="U134" s="280"/>
      <c r="V134" s="280">
        <v>2171</v>
      </c>
      <c r="W134" s="280">
        <v>560</v>
      </c>
      <c r="X134" s="280"/>
      <c r="Y134" s="113"/>
      <c r="Z134" s="113"/>
      <c r="AA134" s="275"/>
      <c r="AB134" s="113"/>
      <c r="AC134" s="113"/>
      <c r="AD134" s="113"/>
      <c r="AE134" s="133"/>
      <c r="AF134" s="115" t="s">
        <v>123</v>
      </c>
      <c r="AG134" s="133"/>
      <c r="AH134" s="133"/>
      <c r="AI134" s="132">
        <f t="shared" si="42"/>
        <v>995810</v>
      </c>
      <c r="AJ134" s="132">
        <f t="shared" si="43"/>
        <v>995810</v>
      </c>
      <c r="AK134" s="133">
        <f t="shared" si="44"/>
        <v>0</v>
      </c>
      <c r="AL134" s="132"/>
      <c r="AM134" s="133"/>
      <c r="AN134" s="246">
        <v>44841</v>
      </c>
      <c r="AO134" s="137"/>
      <c r="AP134" s="97"/>
      <c r="AQ134" s="97"/>
      <c r="AR134" s="97"/>
      <c r="AS134" s="97"/>
      <c r="AT134" s="97"/>
      <c r="AU134" s="97"/>
      <c r="AV134" s="97"/>
      <c r="AW134" s="97"/>
      <c r="AX134" s="97"/>
      <c r="AY134" s="97"/>
      <c r="AZ134" s="97"/>
      <c r="BA134" s="97"/>
      <c r="BB134" s="97"/>
      <c r="BC134" s="97"/>
      <c r="BD134" s="97"/>
      <c r="BE134" s="97"/>
    </row>
    <row r="135" s="115" customFormat="1" customHeight="1" spans="1:57">
      <c r="A135" s="115" t="s">
        <v>3504</v>
      </c>
      <c r="B135" s="111" t="s">
        <v>818</v>
      </c>
      <c r="C135" s="554" t="s">
        <v>3505</v>
      </c>
      <c r="D135" s="121" t="s">
        <v>3506</v>
      </c>
      <c r="E135" s="266">
        <v>18239925222</v>
      </c>
      <c r="F135" s="267">
        <v>4</v>
      </c>
      <c r="G135" s="268">
        <v>4317</v>
      </c>
      <c r="H135" s="268">
        <v>64.12</v>
      </c>
      <c r="I135" s="274" t="s">
        <v>2657</v>
      </c>
      <c r="J135" s="113" t="s">
        <v>3507</v>
      </c>
      <c r="K135" s="266">
        <v>58.16</v>
      </c>
      <c r="L135" s="266" t="s">
        <v>3508</v>
      </c>
      <c r="M135" s="275" t="s">
        <v>2739</v>
      </c>
      <c r="N135" s="113" t="s">
        <v>66</v>
      </c>
      <c r="O135" s="113"/>
      <c r="P135" s="113"/>
      <c r="Q135" s="113">
        <v>25618.98</v>
      </c>
      <c r="R135" s="113">
        <v>1490000</v>
      </c>
      <c r="S135" s="280">
        <v>750000</v>
      </c>
      <c r="T135" s="281">
        <v>740000</v>
      </c>
      <c r="U135" s="280"/>
      <c r="V135" s="280"/>
      <c r="W135" s="280"/>
      <c r="X135" s="280"/>
      <c r="Y135" s="113"/>
      <c r="Z135" s="113"/>
      <c r="AA135" s="275"/>
      <c r="AB135" s="113" t="s">
        <v>3473</v>
      </c>
      <c r="AC135" s="113"/>
      <c r="AD135" s="113">
        <v>106756.25</v>
      </c>
      <c r="AE135" s="133"/>
      <c r="AF135" s="115" t="s">
        <v>2771</v>
      </c>
      <c r="AG135" s="133"/>
      <c r="AH135" s="133"/>
      <c r="AI135" s="132">
        <f t="shared" si="42"/>
        <v>856756.25</v>
      </c>
      <c r="AJ135" s="132">
        <f t="shared" si="43"/>
        <v>750000</v>
      </c>
      <c r="AK135" s="133">
        <f t="shared" si="44"/>
        <v>106756.25</v>
      </c>
      <c r="AL135" s="132"/>
      <c r="AM135" s="133"/>
      <c r="AN135" s="246">
        <v>44841</v>
      </c>
      <c r="AO135" s="137"/>
      <c r="AP135" s="97"/>
      <c r="AQ135" s="97"/>
      <c r="AR135" s="97"/>
      <c r="AS135" s="97"/>
      <c r="AT135" s="97"/>
      <c r="AU135" s="97"/>
      <c r="AV135" s="97"/>
      <c r="AW135" s="97"/>
      <c r="AX135" s="97"/>
      <c r="AY135" s="97"/>
      <c r="AZ135" s="97"/>
      <c r="BA135" s="97"/>
      <c r="BB135" s="97"/>
      <c r="BC135" s="97"/>
      <c r="BD135" s="97"/>
      <c r="BE135" s="97"/>
    </row>
    <row r="136" s="115" customFormat="1" customHeight="1" spans="1:57">
      <c r="A136" s="115" t="s">
        <v>3509</v>
      </c>
      <c r="B136" s="111" t="s">
        <v>3510</v>
      </c>
      <c r="C136" s="111" t="s">
        <v>3511</v>
      </c>
      <c r="D136" s="121" t="s">
        <v>3512</v>
      </c>
      <c r="E136" s="266">
        <v>17839980011</v>
      </c>
      <c r="F136" s="267">
        <v>3</v>
      </c>
      <c r="G136" s="268">
        <v>3229</v>
      </c>
      <c r="H136" s="268">
        <v>13.5</v>
      </c>
      <c r="I136" s="274" t="s">
        <v>2657</v>
      </c>
      <c r="J136" s="113" t="s">
        <v>3513</v>
      </c>
      <c r="K136" s="266">
        <v>12.66</v>
      </c>
      <c r="L136" s="266" t="s">
        <v>3514</v>
      </c>
      <c r="M136" s="275" t="s">
        <v>3515</v>
      </c>
      <c r="N136" s="113" t="s">
        <v>56</v>
      </c>
      <c r="O136" s="113"/>
      <c r="P136" s="113"/>
      <c r="Q136" s="113">
        <v>30370.37</v>
      </c>
      <c r="R136" s="113">
        <v>410000</v>
      </c>
      <c r="S136" s="280">
        <v>410000</v>
      </c>
      <c r="T136" s="281">
        <v>0</v>
      </c>
      <c r="U136" s="280"/>
      <c r="V136" s="280">
        <v>877</v>
      </c>
      <c r="W136" s="280">
        <v>550</v>
      </c>
      <c r="X136" s="280"/>
      <c r="Y136" s="113"/>
      <c r="Z136" s="113"/>
      <c r="AA136" s="275"/>
      <c r="AB136" s="113" t="s">
        <v>3516</v>
      </c>
      <c r="AC136" s="113"/>
      <c r="AD136" s="113"/>
      <c r="AE136" s="133"/>
      <c r="AG136" s="133"/>
      <c r="AH136" s="133"/>
      <c r="AI136" s="132">
        <f t="shared" si="42"/>
        <v>411427</v>
      </c>
      <c r="AJ136" s="132">
        <f t="shared" si="43"/>
        <v>411427</v>
      </c>
      <c r="AK136" s="133">
        <f t="shared" si="44"/>
        <v>0</v>
      </c>
      <c r="AL136" s="132"/>
      <c r="AM136" s="133"/>
      <c r="AN136" s="246">
        <v>44841</v>
      </c>
      <c r="AO136" s="137"/>
      <c r="AP136" s="97"/>
      <c r="AQ136" s="97"/>
      <c r="AR136" s="97"/>
      <c r="AS136" s="97"/>
      <c r="AT136" s="97"/>
      <c r="AU136" s="97"/>
      <c r="AV136" s="97"/>
      <c r="AW136" s="97"/>
      <c r="AX136" s="97"/>
      <c r="AY136" s="97"/>
      <c r="AZ136" s="97"/>
      <c r="BA136" s="97"/>
      <c r="BB136" s="97"/>
      <c r="BC136" s="97"/>
      <c r="BD136" s="97"/>
      <c r="BE136" s="97"/>
    </row>
    <row r="137" s="115" customFormat="1" customHeight="1" spans="1:57">
      <c r="A137" s="115" t="s">
        <v>3517</v>
      </c>
      <c r="B137" s="111" t="s">
        <v>3518</v>
      </c>
      <c r="C137" s="111" t="s">
        <v>3519</v>
      </c>
      <c r="D137" s="121" t="s">
        <v>3520</v>
      </c>
      <c r="E137" s="266">
        <v>13674919486</v>
      </c>
      <c r="F137" s="267">
        <v>3</v>
      </c>
      <c r="G137" s="268">
        <v>396</v>
      </c>
      <c r="H137" s="268">
        <v>25.89</v>
      </c>
      <c r="I137" s="274" t="s">
        <v>2657</v>
      </c>
      <c r="J137" s="113" t="s">
        <v>3521</v>
      </c>
      <c r="K137" s="266">
        <v>21.12</v>
      </c>
      <c r="L137" s="266" t="s">
        <v>3522</v>
      </c>
      <c r="M137" s="275" t="s">
        <v>2960</v>
      </c>
      <c r="N137" s="113" t="s">
        <v>66</v>
      </c>
      <c r="O137" s="113"/>
      <c r="P137" s="113"/>
      <c r="Q137" s="113">
        <v>31622.35</v>
      </c>
      <c r="R137" s="113">
        <v>667864</v>
      </c>
      <c r="S137" s="280">
        <v>337864</v>
      </c>
      <c r="T137" s="281">
        <v>330000</v>
      </c>
      <c r="U137" s="280"/>
      <c r="V137" s="280"/>
      <c r="W137" s="280"/>
      <c r="X137" s="280"/>
      <c r="Y137" s="113"/>
      <c r="Z137" s="113"/>
      <c r="AA137" s="275"/>
      <c r="AB137" s="113"/>
      <c r="AC137" s="113"/>
      <c r="AD137" s="113"/>
      <c r="AE137" s="133"/>
      <c r="AG137" s="133"/>
      <c r="AH137" s="133"/>
      <c r="AI137" s="132">
        <f t="shared" si="42"/>
        <v>337864</v>
      </c>
      <c r="AJ137" s="132">
        <f t="shared" si="43"/>
        <v>337864</v>
      </c>
      <c r="AK137" s="133">
        <f t="shared" si="44"/>
        <v>0</v>
      </c>
      <c r="AL137" s="132"/>
      <c r="AM137" s="133"/>
      <c r="AN137" s="246">
        <v>44841</v>
      </c>
      <c r="AO137" s="137"/>
      <c r="AP137" s="97"/>
      <c r="AQ137" s="97"/>
      <c r="AR137" s="97"/>
      <c r="AS137" s="97"/>
      <c r="AT137" s="97"/>
      <c r="AU137" s="97"/>
      <c r="AV137" s="97"/>
      <c r="AW137" s="97"/>
      <c r="AX137" s="97"/>
      <c r="AY137" s="97"/>
      <c r="AZ137" s="97"/>
      <c r="BA137" s="97"/>
      <c r="BB137" s="97"/>
      <c r="BC137" s="97"/>
      <c r="BD137" s="97"/>
      <c r="BE137" s="97"/>
    </row>
    <row r="138" s="115" customFormat="1" customHeight="1" spans="1:57">
      <c r="A138" s="115" t="s">
        <v>3523</v>
      </c>
      <c r="B138" s="111" t="s">
        <v>3524</v>
      </c>
      <c r="C138" s="554" t="s">
        <v>3525</v>
      </c>
      <c r="D138" s="121" t="s">
        <v>3526</v>
      </c>
      <c r="E138" s="266">
        <v>15838257738</v>
      </c>
      <c r="F138" s="267">
        <v>4</v>
      </c>
      <c r="G138" s="268">
        <v>4386</v>
      </c>
      <c r="H138" s="268">
        <v>15.03</v>
      </c>
      <c r="I138" s="274" t="s">
        <v>2657</v>
      </c>
      <c r="J138" s="113" t="s">
        <v>3527</v>
      </c>
      <c r="K138" s="266">
        <v>11.86</v>
      </c>
      <c r="L138" s="266" t="s">
        <v>3008</v>
      </c>
      <c r="M138" s="275" t="s">
        <v>3009</v>
      </c>
      <c r="N138" s="113" t="s">
        <v>66</v>
      </c>
      <c r="O138" s="113"/>
      <c r="P138" s="113"/>
      <c r="Q138" s="113">
        <v>27433.22</v>
      </c>
      <c r="R138" s="113">
        <v>325358</v>
      </c>
      <c r="S138" s="280">
        <v>165358</v>
      </c>
      <c r="T138" s="281">
        <v>160000</v>
      </c>
      <c r="U138" s="280"/>
      <c r="V138" s="280"/>
      <c r="W138" s="280"/>
      <c r="X138" s="280"/>
      <c r="Y138" s="113"/>
      <c r="Z138" s="113"/>
      <c r="AA138" s="275"/>
      <c r="AB138" s="113"/>
      <c r="AC138" s="113"/>
      <c r="AD138" s="113"/>
      <c r="AE138" s="133"/>
      <c r="AG138" s="133"/>
      <c r="AH138" s="133"/>
      <c r="AI138" s="132">
        <f t="shared" si="42"/>
        <v>165358</v>
      </c>
      <c r="AJ138" s="132">
        <f t="shared" si="43"/>
        <v>165358</v>
      </c>
      <c r="AK138" s="133">
        <f t="shared" si="44"/>
        <v>0</v>
      </c>
      <c r="AL138" s="132"/>
      <c r="AM138" s="133"/>
      <c r="AN138" s="246">
        <v>44841</v>
      </c>
      <c r="AO138" s="137"/>
      <c r="AP138" s="97"/>
      <c r="AQ138" s="97"/>
      <c r="AR138" s="97"/>
      <c r="AS138" s="97"/>
      <c r="AT138" s="97"/>
      <c r="AU138" s="97"/>
      <c r="AV138" s="97"/>
      <c r="AW138" s="97"/>
      <c r="AX138" s="97"/>
      <c r="AY138" s="97"/>
      <c r="AZ138" s="97"/>
      <c r="BA138" s="97"/>
      <c r="BB138" s="97"/>
      <c r="BC138" s="97"/>
      <c r="BD138" s="97"/>
      <c r="BE138" s="97"/>
    </row>
    <row r="139" s="115" customFormat="1" customHeight="1" spans="1:57">
      <c r="A139" s="115" t="s">
        <v>3528</v>
      </c>
      <c r="B139" s="111" t="s">
        <v>3529</v>
      </c>
      <c r="C139" s="111" t="s">
        <v>3530</v>
      </c>
      <c r="D139" s="121" t="s">
        <v>3531</v>
      </c>
      <c r="E139" s="266">
        <v>13803818925</v>
      </c>
      <c r="F139" s="267">
        <v>3</v>
      </c>
      <c r="G139" s="268">
        <v>3746</v>
      </c>
      <c r="H139" s="268">
        <v>14.6</v>
      </c>
      <c r="I139" s="274" t="s">
        <v>2657</v>
      </c>
      <c r="J139" s="113" t="s">
        <v>3532</v>
      </c>
      <c r="K139" s="266">
        <v>14.11</v>
      </c>
      <c r="L139" s="266" t="s">
        <v>2762</v>
      </c>
      <c r="M139" s="275" t="s">
        <v>2763</v>
      </c>
      <c r="N139" s="113" t="s">
        <v>66</v>
      </c>
      <c r="O139" s="113"/>
      <c r="P139" s="113"/>
      <c r="Q139" s="113">
        <v>32199.36</v>
      </c>
      <c r="R139" s="113">
        <v>470111</v>
      </c>
      <c r="S139" s="280">
        <v>240111</v>
      </c>
      <c r="T139" s="281"/>
      <c r="U139" s="280">
        <v>230000</v>
      </c>
      <c r="V139" s="280">
        <v>949</v>
      </c>
      <c r="W139" s="280">
        <v>550</v>
      </c>
      <c r="X139" s="280"/>
      <c r="Y139" s="113" t="s">
        <v>2669</v>
      </c>
      <c r="Z139" s="113" t="s">
        <v>48</v>
      </c>
      <c r="AA139" s="275">
        <v>44020</v>
      </c>
      <c r="AB139" s="113"/>
      <c r="AC139" s="113">
        <v>1243</v>
      </c>
      <c r="AD139" s="113"/>
      <c r="AE139" s="133"/>
      <c r="AG139" s="133"/>
      <c r="AH139" s="133"/>
      <c r="AI139" s="132">
        <f t="shared" si="42"/>
        <v>472853</v>
      </c>
      <c r="AJ139" s="132">
        <f t="shared" si="43"/>
        <v>471610</v>
      </c>
      <c r="AK139" s="133">
        <f t="shared" si="44"/>
        <v>1243</v>
      </c>
      <c r="AL139" s="132"/>
      <c r="AM139" s="133"/>
      <c r="AN139" s="246">
        <v>44841</v>
      </c>
      <c r="AO139" s="137"/>
      <c r="AP139" s="97"/>
      <c r="AQ139" s="97"/>
      <c r="AR139" s="97"/>
      <c r="AS139" s="97"/>
      <c r="AT139" s="97"/>
      <c r="AU139" s="97"/>
      <c r="AV139" s="97"/>
      <c r="AW139" s="97"/>
      <c r="AX139" s="97"/>
      <c r="AY139" s="97"/>
      <c r="AZ139" s="97"/>
      <c r="BA139" s="97"/>
      <c r="BB139" s="97"/>
      <c r="BC139" s="97"/>
      <c r="BD139" s="97"/>
      <c r="BE139" s="97"/>
    </row>
    <row r="140" s="115" customFormat="1" customHeight="1" spans="1:57">
      <c r="A140" s="115" t="s">
        <v>3533</v>
      </c>
      <c r="B140" s="111" t="s">
        <v>3534</v>
      </c>
      <c r="C140" s="111" t="s">
        <v>3535</v>
      </c>
      <c r="D140" s="121" t="s">
        <v>3536</v>
      </c>
      <c r="E140" s="266">
        <v>15993691919</v>
      </c>
      <c r="F140" s="267">
        <v>3</v>
      </c>
      <c r="G140" s="268">
        <v>3399</v>
      </c>
      <c r="H140" s="268">
        <v>13.39</v>
      </c>
      <c r="I140" s="274" t="s">
        <v>2657</v>
      </c>
      <c r="J140" s="113" t="s">
        <v>3537</v>
      </c>
      <c r="K140" s="266">
        <v>11.9</v>
      </c>
      <c r="L140" s="266" t="s">
        <v>3538</v>
      </c>
      <c r="M140" s="275" t="s">
        <v>3139</v>
      </c>
      <c r="N140" s="113" t="s">
        <v>56</v>
      </c>
      <c r="O140" s="113"/>
      <c r="P140" s="113"/>
      <c r="Q140" s="113">
        <v>31759.08</v>
      </c>
      <c r="R140" s="113">
        <v>377933</v>
      </c>
      <c r="S140" s="280">
        <v>377933</v>
      </c>
      <c r="T140" s="281">
        <v>0</v>
      </c>
      <c r="U140" s="280"/>
      <c r="V140" s="280"/>
      <c r="W140" s="280"/>
      <c r="X140" s="280"/>
      <c r="Y140" s="113"/>
      <c r="Z140" s="113"/>
      <c r="AA140" s="275"/>
      <c r="AB140" s="113" t="s">
        <v>3539</v>
      </c>
      <c r="AC140" s="113"/>
      <c r="AD140" s="113"/>
      <c r="AE140" s="133"/>
      <c r="AF140" s="115" t="s">
        <v>2771</v>
      </c>
      <c r="AG140" s="133"/>
      <c r="AH140" s="133"/>
      <c r="AI140" s="132">
        <f t="shared" si="42"/>
        <v>377933</v>
      </c>
      <c r="AJ140" s="132">
        <f t="shared" si="43"/>
        <v>377933</v>
      </c>
      <c r="AK140" s="133">
        <f t="shared" si="44"/>
        <v>0</v>
      </c>
      <c r="AL140" s="132"/>
      <c r="AM140" s="133"/>
      <c r="AN140" s="246">
        <v>44841</v>
      </c>
      <c r="AO140" s="137"/>
      <c r="AP140" s="97"/>
      <c r="AQ140" s="97"/>
      <c r="AR140" s="97"/>
      <c r="AS140" s="97"/>
      <c r="AT140" s="97"/>
      <c r="AU140" s="97"/>
      <c r="AV140" s="97"/>
      <c r="AW140" s="97"/>
      <c r="AX140" s="97"/>
      <c r="AY140" s="97"/>
      <c r="AZ140" s="97"/>
      <c r="BA140" s="97"/>
      <c r="BB140" s="97"/>
      <c r="BC140" s="97"/>
      <c r="BD140" s="97"/>
      <c r="BE140" s="97"/>
    </row>
    <row r="141" s="115" customFormat="1" customHeight="1" spans="1:57">
      <c r="A141" s="115" t="s">
        <v>3540</v>
      </c>
      <c r="B141" s="111" t="s">
        <v>3541</v>
      </c>
      <c r="C141" s="111" t="s">
        <v>3542</v>
      </c>
      <c r="D141" s="121" t="s">
        <v>3543</v>
      </c>
      <c r="E141" s="266">
        <v>13781251025</v>
      </c>
      <c r="F141" s="267">
        <v>3</v>
      </c>
      <c r="G141" s="268">
        <v>3837</v>
      </c>
      <c r="H141" s="268">
        <v>16.07</v>
      </c>
      <c r="I141" s="274" t="s">
        <v>2657</v>
      </c>
      <c r="J141" s="113" t="s">
        <v>3544</v>
      </c>
      <c r="K141" s="266">
        <v>14.89</v>
      </c>
      <c r="L141" s="266" t="s">
        <v>2875</v>
      </c>
      <c r="M141" s="275" t="s">
        <v>2763</v>
      </c>
      <c r="N141" s="113" t="s">
        <v>66</v>
      </c>
      <c r="O141" s="113"/>
      <c r="P141" s="113"/>
      <c r="Q141" s="113">
        <v>32303.76</v>
      </c>
      <c r="R141" s="113">
        <v>519121</v>
      </c>
      <c r="S141" s="280">
        <v>269121</v>
      </c>
      <c r="T141" s="281"/>
      <c r="U141" s="280">
        <v>250000</v>
      </c>
      <c r="V141" s="280">
        <v>1044</v>
      </c>
      <c r="W141" s="280">
        <v>550</v>
      </c>
      <c r="X141" s="280"/>
      <c r="Y141" s="113" t="s">
        <v>2669</v>
      </c>
      <c r="Z141" s="113" t="s">
        <v>48</v>
      </c>
      <c r="AA141" s="275">
        <v>44020</v>
      </c>
      <c r="AB141" s="113"/>
      <c r="AC141" s="113">
        <v>1245</v>
      </c>
      <c r="AD141" s="113"/>
      <c r="AE141" s="133"/>
      <c r="AF141" s="115" t="s">
        <v>2771</v>
      </c>
      <c r="AG141" s="133"/>
      <c r="AH141" s="133"/>
      <c r="AI141" s="132">
        <f t="shared" si="42"/>
        <v>521960</v>
      </c>
      <c r="AJ141" s="132">
        <f t="shared" si="43"/>
        <v>520715</v>
      </c>
      <c r="AK141" s="133">
        <f t="shared" si="44"/>
        <v>1245</v>
      </c>
      <c r="AL141" s="132"/>
      <c r="AM141" s="133"/>
      <c r="AN141" s="246">
        <v>44841</v>
      </c>
      <c r="AO141" s="137"/>
      <c r="AP141" s="97"/>
      <c r="AQ141" s="97"/>
      <c r="AR141" s="97"/>
      <c r="AS141" s="97"/>
      <c r="AT141" s="97"/>
      <c r="AU141" s="97"/>
      <c r="AV141" s="97"/>
      <c r="AW141" s="97"/>
      <c r="AX141" s="97"/>
      <c r="AY141" s="97"/>
      <c r="AZ141" s="97"/>
      <c r="BA141" s="97"/>
      <c r="BB141" s="97"/>
      <c r="BC141" s="97"/>
      <c r="BD141" s="97"/>
      <c r="BE141" s="97"/>
    </row>
    <row r="142" s="115" customFormat="1" customHeight="1" spans="1:57">
      <c r="A142" s="115" t="s">
        <v>3545</v>
      </c>
      <c r="B142" s="111" t="s">
        <v>3546</v>
      </c>
      <c r="C142" s="111" t="s">
        <v>3547</v>
      </c>
      <c r="D142" s="121" t="s">
        <v>3548</v>
      </c>
      <c r="E142" s="266">
        <v>18637393509</v>
      </c>
      <c r="F142" s="267">
        <v>3</v>
      </c>
      <c r="G142" s="268">
        <v>3566</v>
      </c>
      <c r="H142" s="268">
        <v>16.43</v>
      </c>
      <c r="I142" s="274" t="s">
        <v>2657</v>
      </c>
      <c r="J142" s="113" t="s">
        <v>3549</v>
      </c>
      <c r="K142" s="266">
        <v>14.41</v>
      </c>
      <c r="L142" s="266" t="s">
        <v>3550</v>
      </c>
      <c r="M142" s="275" t="s">
        <v>3551</v>
      </c>
      <c r="N142" s="113" t="s">
        <v>56</v>
      </c>
      <c r="O142" s="113"/>
      <c r="P142" s="113"/>
      <c r="Q142" s="113">
        <v>31783.48</v>
      </c>
      <c r="R142" s="113">
        <v>458000</v>
      </c>
      <c r="S142" s="280">
        <v>458000</v>
      </c>
      <c r="T142" s="281">
        <v>0</v>
      </c>
      <c r="U142" s="280"/>
      <c r="V142" s="280"/>
      <c r="W142" s="280"/>
      <c r="X142" s="280"/>
      <c r="Y142" s="113"/>
      <c r="Z142" s="113"/>
      <c r="AA142" s="275"/>
      <c r="AB142" s="113"/>
      <c r="AC142" s="113"/>
      <c r="AD142" s="113"/>
      <c r="AE142" s="133"/>
      <c r="AF142" s="115" t="s">
        <v>2771</v>
      </c>
      <c r="AG142" s="133"/>
      <c r="AH142" s="133"/>
      <c r="AI142" s="132">
        <f t="shared" si="42"/>
        <v>458000</v>
      </c>
      <c r="AJ142" s="132">
        <f t="shared" si="43"/>
        <v>458000</v>
      </c>
      <c r="AK142" s="133">
        <f t="shared" si="44"/>
        <v>0</v>
      </c>
      <c r="AL142" s="132"/>
      <c r="AM142" s="133"/>
      <c r="AN142" s="246">
        <v>44841</v>
      </c>
      <c r="AO142" s="137"/>
      <c r="AP142" s="97"/>
      <c r="AQ142" s="97"/>
      <c r="AR142" s="97"/>
      <c r="AS142" s="97"/>
      <c r="AT142" s="97"/>
      <c r="AU142" s="97"/>
      <c r="AV142" s="97"/>
      <c r="AW142" s="97"/>
      <c r="AX142" s="97"/>
      <c r="AY142" s="97"/>
      <c r="AZ142" s="97"/>
      <c r="BA142" s="97"/>
      <c r="BB142" s="97"/>
      <c r="BC142" s="97"/>
      <c r="BD142" s="97"/>
      <c r="BE142" s="97"/>
    </row>
    <row r="143" s="115" customFormat="1" customHeight="1" spans="1:57">
      <c r="A143" s="115" t="s">
        <v>3552</v>
      </c>
      <c r="B143" s="111" t="s">
        <v>3553</v>
      </c>
      <c r="C143" s="554" t="s">
        <v>3554</v>
      </c>
      <c r="D143" s="121" t="s">
        <v>3555</v>
      </c>
      <c r="E143" s="266" t="s">
        <v>3556</v>
      </c>
      <c r="F143" s="267">
        <v>1</v>
      </c>
      <c r="G143" s="268">
        <v>1604</v>
      </c>
      <c r="H143" s="268">
        <v>13.5</v>
      </c>
      <c r="I143" s="274" t="s">
        <v>2657</v>
      </c>
      <c r="J143" s="113" t="s">
        <v>3557</v>
      </c>
      <c r="K143" s="266">
        <v>12.99</v>
      </c>
      <c r="L143" s="266" t="s">
        <v>3558</v>
      </c>
      <c r="M143" s="275" t="s">
        <v>3559</v>
      </c>
      <c r="N143" s="113" t="s">
        <v>66</v>
      </c>
      <c r="O143" s="113"/>
      <c r="P143" s="113"/>
      <c r="Q143" s="113">
        <v>50038.49</v>
      </c>
      <c r="R143" s="113">
        <v>675520</v>
      </c>
      <c r="S143" s="280">
        <v>345520</v>
      </c>
      <c r="T143" s="281">
        <v>330000</v>
      </c>
      <c r="U143" s="280"/>
      <c r="V143" s="280">
        <v>877</v>
      </c>
      <c r="W143" s="280">
        <v>560</v>
      </c>
      <c r="X143" s="280"/>
      <c r="Y143" s="113" t="s">
        <v>2669</v>
      </c>
      <c r="Z143" s="113"/>
      <c r="AA143" s="275"/>
      <c r="AB143" s="113" t="s">
        <v>3560</v>
      </c>
      <c r="AC143" s="113"/>
      <c r="AD143" s="113"/>
      <c r="AE143" s="133"/>
      <c r="AF143" s="115" t="s">
        <v>2771</v>
      </c>
      <c r="AG143" s="133"/>
      <c r="AH143" s="133"/>
      <c r="AI143" s="132">
        <f t="shared" si="42"/>
        <v>346957</v>
      </c>
      <c r="AJ143" s="132">
        <f t="shared" si="43"/>
        <v>346957</v>
      </c>
      <c r="AK143" s="133">
        <f t="shared" si="44"/>
        <v>0</v>
      </c>
      <c r="AL143" s="132"/>
      <c r="AM143" s="133"/>
      <c r="AN143" s="246">
        <v>44841</v>
      </c>
      <c r="AO143" s="137"/>
      <c r="AP143" s="97"/>
      <c r="AQ143" s="97"/>
      <c r="AR143" s="97"/>
      <c r="AS143" s="97"/>
      <c r="AT143" s="97"/>
      <c r="AU143" s="97"/>
      <c r="AV143" s="97"/>
      <c r="AW143" s="97"/>
      <c r="AX143" s="97"/>
      <c r="AY143" s="97"/>
      <c r="AZ143" s="97"/>
      <c r="BA143" s="97"/>
      <c r="BB143" s="97"/>
      <c r="BC143" s="97"/>
      <c r="BD143" s="97"/>
      <c r="BE143" s="97"/>
    </row>
    <row r="144" s="115" customFormat="1" customHeight="1" spans="1:57">
      <c r="A144" s="115" t="s">
        <v>3561</v>
      </c>
      <c r="B144" s="111" t="s">
        <v>3562</v>
      </c>
      <c r="C144" s="111" t="s">
        <v>3563</v>
      </c>
      <c r="D144" s="121" t="s">
        <v>3564</v>
      </c>
      <c r="E144" s="266">
        <v>15638186053</v>
      </c>
      <c r="F144" s="267">
        <v>3</v>
      </c>
      <c r="G144" s="268">
        <v>3289</v>
      </c>
      <c r="H144" s="268">
        <v>18.03</v>
      </c>
      <c r="I144" s="274" t="s">
        <v>2657</v>
      </c>
      <c r="J144" s="113" t="s">
        <v>3565</v>
      </c>
      <c r="K144" s="266">
        <v>15.65</v>
      </c>
      <c r="L144" s="266" t="s">
        <v>3073</v>
      </c>
      <c r="M144" s="275" t="s">
        <v>2685</v>
      </c>
      <c r="N144" s="113" t="s">
        <v>66</v>
      </c>
      <c r="O144" s="113"/>
      <c r="P144" s="113"/>
      <c r="Q144" s="113">
        <v>29578.7</v>
      </c>
      <c r="R144" s="113">
        <v>533304</v>
      </c>
      <c r="S144" s="280">
        <v>273304</v>
      </c>
      <c r="T144" s="281">
        <v>260000</v>
      </c>
      <c r="U144" s="280"/>
      <c r="V144" s="280">
        <v>1171</v>
      </c>
      <c r="W144" s="280">
        <v>550</v>
      </c>
      <c r="X144" s="280"/>
      <c r="Y144" s="113" t="s">
        <v>2669</v>
      </c>
      <c r="Z144" s="113"/>
      <c r="AA144" s="275"/>
      <c r="AB144" s="113"/>
      <c r="AC144" s="113">
        <v>1236</v>
      </c>
      <c r="AD144" s="113"/>
      <c r="AE144" s="133"/>
      <c r="AG144" s="133"/>
      <c r="AH144" s="133"/>
      <c r="AI144" s="132">
        <f t="shared" si="42"/>
        <v>276261</v>
      </c>
      <c r="AJ144" s="132">
        <f t="shared" si="43"/>
        <v>275025</v>
      </c>
      <c r="AK144" s="133">
        <f t="shared" si="44"/>
        <v>1236</v>
      </c>
      <c r="AL144" s="132"/>
      <c r="AM144" s="133"/>
      <c r="AN144" s="246">
        <v>44841</v>
      </c>
      <c r="AO144" s="137"/>
      <c r="AP144" s="97"/>
      <c r="AQ144" s="97"/>
      <c r="AR144" s="97"/>
      <c r="AS144" s="97"/>
      <c r="AT144" s="97"/>
      <c r="AU144" s="97"/>
      <c r="AV144" s="97"/>
      <c r="AW144" s="97"/>
      <c r="AX144" s="97"/>
      <c r="AY144" s="97"/>
      <c r="AZ144" s="97"/>
      <c r="BA144" s="97"/>
      <c r="BB144" s="97"/>
      <c r="BC144" s="97"/>
      <c r="BD144" s="97"/>
      <c r="BE144" s="97"/>
    </row>
    <row r="145" s="115" customFormat="1" customHeight="1" spans="1:57">
      <c r="A145" s="115" t="s">
        <v>3566</v>
      </c>
      <c r="B145" s="111" t="s">
        <v>3567</v>
      </c>
      <c r="C145" s="111" t="s">
        <v>3568</v>
      </c>
      <c r="D145" s="121" t="s">
        <v>3569</v>
      </c>
      <c r="E145" s="266">
        <v>15937158837</v>
      </c>
      <c r="F145" s="267">
        <v>3</v>
      </c>
      <c r="G145" s="268">
        <v>3777</v>
      </c>
      <c r="H145" s="268">
        <v>15.99</v>
      </c>
      <c r="I145" s="274" t="s">
        <v>2657</v>
      </c>
      <c r="J145" s="113" t="s">
        <v>3570</v>
      </c>
      <c r="K145" s="266">
        <v>14.89</v>
      </c>
      <c r="L145" s="266" t="s">
        <v>3571</v>
      </c>
      <c r="M145" s="275" t="s">
        <v>3009</v>
      </c>
      <c r="N145" s="113" t="s">
        <v>66</v>
      </c>
      <c r="O145" s="113"/>
      <c r="P145" s="113"/>
      <c r="Q145" s="113">
        <v>32001.41</v>
      </c>
      <c r="R145" s="113">
        <v>476501</v>
      </c>
      <c r="S145" s="280">
        <v>246501</v>
      </c>
      <c r="T145" s="281">
        <v>230000</v>
      </c>
      <c r="U145" s="280"/>
      <c r="V145" s="280"/>
      <c r="W145" s="280"/>
      <c r="X145" s="280"/>
      <c r="Y145" s="113"/>
      <c r="Z145" s="113"/>
      <c r="AA145" s="275"/>
      <c r="AB145" s="113"/>
      <c r="AC145" s="113"/>
      <c r="AD145" s="113"/>
      <c r="AE145" s="133"/>
      <c r="AF145" s="115" t="s">
        <v>2771</v>
      </c>
      <c r="AG145" s="133"/>
      <c r="AH145" s="133"/>
      <c r="AI145" s="132">
        <f t="shared" si="42"/>
        <v>246501</v>
      </c>
      <c r="AJ145" s="132">
        <f t="shared" si="43"/>
        <v>246501</v>
      </c>
      <c r="AK145" s="133">
        <f t="shared" si="44"/>
        <v>0</v>
      </c>
      <c r="AL145" s="132"/>
      <c r="AM145" s="133"/>
      <c r="AN145" s="246">
        <v>44841</v>
      </c>
      <c r="AO145" s="137"/>
      <c r="AP145" s="97"/>
      <c r="AQ145" s="97"/>
      <c r="AR145" s="97"/>
      <c r="AS145" s="97"/>
      <c r="AT145" s="97"/>
      <c r="AU145" s="97"/>
      <c r="AV145" s="97"/>
      <c r="AW145" s="97"/>
      <c r="AX145" s="97"/>
      <c r="AY145" s="97"/>
      <c r="AZ145" s="97"/>
      <c r="BA145" s="97"/>
      <c r="BB145" s="97"/>
      <c r="BC145" s="97"/>
      <c r="BD145" s="97"/>
      <c r="BE145" s="97"/>
    </row>
    <row r="146" s="115" customFormat="1" customHeight="1" spans="1:57">
      <c r="A146" s="115" t="s">
        <v>3572</v>
      </c>
      <c r="B146" s="111" t="s">
        <v>3573</v>
      </c>
      <c r="C146" s="554" t="s">
        <v>3574</v>
      </c>
      <c r="D146" s="121" t="s">
        <v>3575</v>
      </c>
      <c r="E146" s="266">
        <v>18137194667</v>
      </c>
      <c r="F146" s="267">
        <v>4</v>
      </c>
      <c r="G146" s="268">
        <v>4355</v>
      </c>
      <c r="H146" s="268">
        <v>17.04</v>
      </c>
      <c r="I146" s="274" t="s">
        <v>2657</v>
      </c>
      <c r="J146" s="113" t="s">
        <v>3576</v>
      </c>
      <c r="K146" s="266">
        <v>15.4</v>
      </c>
      <c r="L146" s="266" t="s">
        <v>3096</v>
      </c>
      <c r="M146" s="275" t="s">
        <v>3577</v>
      </c>
      <c r="N146" s="113" t="s">
        <v>66</v>
      </c>
      <c r="O146" s="113"/>
      <c r="P146" s="113"/>
      <c r="Q146" s="113">
        <v>26034.94</v>
      </c>
      <c r="R146" s="113">
        <v>400938</v>
      </c>
      <c r="S146" s="280">
        <v>200938</v>
      </c>
      <c r="T146" s="281">
        <v>200000</v>
      </c>
      <c r="U146" s="280"/>
      <c r="V146" s="280"/>
      <c r="W146" s="280"/>
      <c r="X146" s="280"/>
      <c r="Y146" s="113"/>
      <c r="Z146" s="113"/>
      <c r="AA146" s="275"/>
      <c r="AB146" s="113"/>
      <c r="AC146" s="113"/>
      <c r="AD146" s="113"/>
      <c r="AE146" s="133"/>
      <c r="AG146" s="133"/>
      <c r="AH146" s="133"/>
      <c r="AI146" s="132">
        <f t="shared" si="42"/>
        <v>200938</v>
      </c>
      <c r="AJ146" s="132">
        <f t="shared" si="43"/>
        <v>200938</v>
      </c>
      <c r="AK146" s="133">
        <f t="shared" si="44"/>
        <v>0</v>
      </c>
      <c r="AL146" s="132"/>
      <c r="AM146" s="133"/>
      <c r="AN146" s="246">
        <v>44841</v>
      </c>
      <c r="AO146" s="137"/>
      <c r="AP146" s="97"/>
      <c r="AQ146" s="97"/>
      <c r="AR146" s="97"/>
      <c r="AS146" s="97"/>
      <c r="AT146" s="97"/>
      <c r="AU146" s="97"/>
      <c r="AV146" s="97"/>
      <c r="AW146" s="97"/>
      <c r="AX146" s="97"/>
      <c r="AY146" s="97"/>
      <c r="AZ146" s="97"/>
      <c r="BA146" s="97"/>
      <c r="BB146" s="97"/>
      <c r="BC146" s="97"/>
      <c r="BD146" s="97"/>
      <c r="BE146" s="97"/>
    </row>
    <row r="147" s="115" customFormat="1" customHeight="1" spans="1:57">
      <c r="A147" s="115" t="s">
        <v>3578</v>
      </c>
      <c r="B147" s="111" t="s">
        <v>3579</v>
      </c>
      <c r="C147" s="111" t="s">
        <v>3580</v>
      </c>
      <c r="D147" s="121" t="s">
        <v>3581</v>
      </c>
      <c r="E147" s="266">
        <v>15093305366</v>
      </c>
      <c r="F147" s="267">
        <v>4</v>
      </c>
      <c r="G147" s="268">
        <v>4352</v>
      </c>
      <c r="H147" s="268">
        <v>12.05</v>
      </c>
      <c r="I147" s="274" t="s">
        <v>2657</v>
      </c>
      <c r="J147" s="113" t="s">
        <v>3582</v>
      </c>
      <c r="K147" s="266">
        <v>11.5</v>
      </c>
      <c r="L147" s="266" t="s">
        <v>2954</v>
      </c>
      <c r="M147" s="275" t="s">
        <v>2868</v>
      </c>
      <c r="N147" s="113" t="s">
        <v>66</v>
      </c>
      <c r="O147" s="113"/>
      <c r="P147" s="113"/>
      <c r="Q147" s="113">
        <v>27732.87</v>
      </c>
      <c r="R147" s="113">
        <v>318928</v>
      </c>
      <c r="S147" s="280">
        <v>168928</v>
      </c>
      <c r="T147" s="281">
        <v>150000</v>
      </c>
      <c r="U147" s="280"/>
      <c r="V147" s="280"/>
      <c r="W147" s="280"/>
      <c r="X147" s="280"/>
      <c r="Y147" s="113"/>
      <c r="Z147" s="113"/>
      <c r="AA147" s="275"/>
      <c r="AB147" s="113"/>
      <c r="AC147" s="113"/>
      <c r="AD147" s="113"/>
      <c r="AE147" s="133"/>
      <c r="AG147" s="133"/>
      <c r="AH147" s="133"/>
      <c r="AI147" s="132">
        <f t="shared" si="42"/>
        <v>168928</v>
      </c>
      <c r="AJ147" s="132">
        <f t="shared" si="43"/>
        <v>168928</v>
      </c>
      <c r="AK147" s="133">
        <f t="shared" si="44"/>
        <v>0</v>
      </c>
      <c r="AL147" s="132"/>
      <c r="AM147" s="133"/>
      <c r="AN147" s="246">
        <v>44841</v>
      </c>
      <c r="AO147" s="137"/>
      <c r="AP147" s="97"/>
      <c r="AQ147" s="97"/>
      <c r="AR147" s="97"/>
      <c r="AS147" s="97"/>
      <c r="AT147" s="97"/>
      <c r="AU147" s="97"/>
      <c r="AV147" s="97"/>
      <c r="AW147" s="97"/>
      <c r="AX147" s="97"/>
      <c r="AY147" s="97"/>
      <c r="AZ147" s="97"/>
      <c r="BA147" s="97"/>
      <c r="BB147" s="97"/>
      <c r="BC147" s="97"/>
      <c r="BD147" s="97"/>
      <c r="BE147" s="97"/>
    </row>
    <row r="148" s="115" customFormat="1" customHeight="1" spans="1:57">
      <c r="A148" s="115" t="s">
        <v>3583</v>
      </c>
      <c r="B148" s="111" t="s">
        <v>3584</v>
      </c>
      <c r="C148" s="554" t="s">
        <v>3585</v>
      </c>
      <c r="D148" s="121" t="s">
        <v>3586</v>
      </c>
      <c r="E148" s="266">
        <v>15937133305</v>
      </c>
      <c r="F148" s="267">
        <v>4</v>
      </c>
      <c r="G148" s="268">
        <v>4491</v>
      </c>
      <c r="H148" s="268">
        <v>16.53</v>
      </c>
      <c r="I148" s="274" t="s">
        <v>2657</v>
      </c>
      <c r="J148" s="113" t="s">
        <v>3587</v>
      </c>
      <c r="K148" s="266">
        <v>26.29</v>
      </c>
      <c r="L148" s="266" t="s">
        <v>2890</v>
      </c>
      <c r="M148" s="275" t="s">
        <v>3472</v>
      </c>
      <c r="N148" s="113" t="s">
        <v>56</v>
      </c>
      <c r="O148" s="113"/>
      <c r="P148" s="113"/>
      <c r="Q148" s="113">
        <v>25106.35</v>
      </c>
      <c r="R148" s="113">
        <v>415008</v>
      </c>
      <c r="S148" s="280">
        <v>415008</v>
      </c>
      <c r="T148" s="281">
        <v>0</v>
      </c>
      <c r="U148" s="280"/>
      <c r="V148" s="280">
        <v>1074</v>
      </c>
      <c r="W148" s="280">
        <v>550</v>
      </c>
      <c r="X148" s="280"/>
      <c r="Y148" s="113" t="s">
        <v>2669</v>
      </c>
      <c r="Z148" s="113" t="s">
        <v>48</v>
      </c>
      <c r="AA148" s="275">
        <v>44024</v>
      </c>
      <c r="AB148" s="113" t="s">
        <v>3588</v>
      </c>
      <c r="AC148" s="113"/>
      <c r="AD148" s="113"/>
      <c r="AE148" s="133"/>
      <c r="AG148" s="133"/>
      <c r="AH148" s="133"/>
      <c r="AI148" s="132">
        <f t="shared" si="42"/>
        <v>416632</v>
      </c>
      <c r="AJ148" s="132">
        <f t="shared" si="43"/>
        <v>416632</v>
      </c>
      <c r="AK148" s="133">
        <f t="shared" si="44"/>
        <v>0</v>
      </c>
      <c r="AL148" s="132"/>
      <c r="AM148" s="133"/>
      <c r="AN148" s="246">
        <v>44841</v>
      </c>
      <c r="AO148" s="137"/>
      <c r="AP148" s="97"/>
      <c r="AQ148" s="97"/>
      <c r="AR148" s="97"/>
      <c r="AS148" s="97"/>
      <c r="AT148" s="97"/>
      <c r="AU148" s="97"/>
      <c r="AV148" s="97"/>
      <c r="AW148" s="97"/>
      <c r="AX148" s="97"/>
      <c r="AY148" s="97"/>
      <c r="AZ148" s="97"/>
      <c r="BA148" s="97"/>
      <c r="BB148" s="97"/>
      <c r="BC148" s="97"/>
      <c r="BD148" s="97"/>
      <c r="BE148" s="97"/>
    </row>
    <row r="149" s="115" customFormat="1" customHeight="1" spans="1:57">
      <c r="A149" s="115" t="s">
        <v>3589</v>
      </c>
      <c r="B149" s="111" t="s">
        <v>3590</v>
      </c>
      <c r="C149" s="554" t="s">
        <v>3591</v>
      </c>
      <c r="D149" s="121" t="s">
        <v>3592</v>
      </c>
      <c r="E149" s="266">
        <v>18637102468</v>
      </c>
      <c r="F149" s="267">
        <v>4</v>
      </c>
      <c r="G149" s="268">
        <v>4222</v>
      </c>
      <c r="H149" s="268">
        <v>25.8</v>
      </c>
      <c r="I149" s="274" t="s">
        <v>2657</v>
      </c>
      <c r="J149" s="113" t="s">
        <v>3593</v>
      </c>
      <c r="K149" s="266">
        <v>22.36</v>
      </c>
      <c r="L149" s="266" t="s">
        <v>3355</v>
      </c>
      <c r="M149" s="275" t="s">
        <v>2770</v>
      </c>
      <c r="N149" s="113" t="s">
        <v>66</v>
      </c>
      <c r="O149" s="113"/>
      <c r="P149" s="113"/>
      <c r="Q149" s="113">
        <v>26563.51</v>
      </c>
      <c r="R149" s="113">
        <v>593960</v>
      </c>
      <c r="S149" s="280">
        <v>303960</v>
      </c>
      <c r="T149" s="281">
        <v>290000</v>
      </c>
      <c r="U149" s="280"/>
      <c r="V149" s="280"/>
      <c r="W149" s="280"/>
      <c r="X149" s="280"/>
      <c r="Y149" s="113"/>
      <c r="Z149" s="113"/>
      <c r="AA149" s="275"/>
      <c r="AB149" s="113"/>
      <c r="AC149" s="113">
        <v>76</v>
      </c>
      <c r="AD149" s="113"/>
      <c r="AE149" s="133"/>
      <c r="AG149" s="133"/>
      <c r="AH149" s="133"/>
      <c r="AI149" s="132">
        <f t="shared" si="42"/>
        <v>304036</v>
      </c>
      <c r="AJ149" s="132">
        <f t="shared" si="43"/>
        <v>303960</v>
      </c>
      <c r="AK149" s="133">
        <f t="shared" si="44"/>
        <v>76</v>
      </c>
      <c r="AL149" s="132"/>
      <c r="AM149" s="133"/>
      <c r="AN149" s="246">
        <v>44841</v>
      </c>
      <c r="AO149" s="137"/>
      <c r="AP149" s="97"/>
      <c r="AQ149" s="97"/>
      <c r="AR149" s="97"/>
      <c r="AS149" s="97"/>
      <c r="AT149" s="97"/>
      <c r="AU149" s="97"/>
      <c r="AV149" s="97"/>
      <c r="AW149" s="97"/>
      <c r="AX149" s="97"/>
      <c r="AY149" s="97"/>
      <c r="AZ149" s="97"/>
      <c r="BA149" s="97"/>
      <c r="BB149" s="97"/>
      <c r="BC149" s="97"/>
      <c r="BD149" s="97"/>
      <c r="BE149" s="97"/>
    </row>
    <row r="150" s="115" customFormat="1" customHeight="1" spans="1:57">
      <c r="A150" s="115" t="s">
        <v>3594</v>
      </c>
      <c r="B150" s="111" t="s">
        <v>3595</v>
      </c>
      <c r="C150" s="111" t="s">
        <v>3596</v>
      </c>
      <c r="D150" s="121" t="s">
        <v>3597</v>
      </c>
      <c r="E150" s="266">
        <v>13523497692</v>
      </c>
      <c r="F150" s="267">
        <v>3</v>
      </c>
      <c r="G150" s="268">
        <v>3274</v>
      </c>
      <c r="H150" s="268">
        <v>17.15</v>
      </c>
      <c r="I150" s="274" t="s">
        <v>2657</v>
      </c>
      <c r="J150" s="113" t="s">
        <v>3598</v>
      </c>
      <c r="K150" s="266">
        <v>16.02</v>
      </c>
      <c r="L150" s="266" t="s">
        <v>3445</v>
      </c>
      <c r="M150" s="275" t="s">
        <v>2746</v>
      </c>
      <c r="N150" s="113" t="s">
        <v>66</v>
      </c>
      <c r="O150" s="113"/>
      <c r="P150" s="113"/>
      <c r="Q150" s="113">
        <v>33104.49</v>
      </c>
      <c r="R150" s="113">
        <v>530334</v>
      </c>
      <c r="S150" s="280">
        <v>270334</v>
      </c>
      <c r="T150" s="281">
        <v>260000</v>
      </c>
      <c r="U150" s="280"/>
      <c r="V150" s="280"/>
      <c r="W150" s="280"/>
      <c r="X150" s="280"/>
      <c r="Y150" s="113"/>
      <c r="Z150" s="113"/>
      <c r="AA150" s="275"/>
      <c r="AB150" s="113"/>
      <c r="AC150" s="113"/>
      <c r="AD150" s="113"/>
      <c r="AE150" s="133"/>
      <c r="AF150" s="115" t="s">
        <v>208</v>
      </c>
      <c r="AG150" s="133" t="s">
        <v>3599</v>
      </c>
      <c r="AH150" s="133"/>
      <c r="AI150" s="132">
        <f t="shared" ref="AI150:AI157" si="45">S150+U150+V150+W150+X150+AC150+AD150+AE150</f>
        <v>270334</v>
      </c>
      <c r="AJ150" s="132">
        <f t="shared" ref="AJ150:AJ157" si="46">S150+U150+V150+W150+X150</f>
        <v>270334</v>
      </c>
      <c r="AK150" s="133">
        <f t="shared" ref="AK150:AK157" si="47">AI150-AJ150</f>
        <v>0</v>
      </c>
      <c r="AL150" s="132"/>
      <c r="AM150" s="133"/>
      <c r="AN150" s="246">
        <v>44841</v>
      </c>
      <c r="AO150" s="137"/>
      <c r="AP150" s="97"/>
      <c r="AQ150" s="97"/>
      <c r="AR150" s="97"/>
      <c r="AS150" s="97"/>
      <c r="AT150" s="97"/>
      <c r="AU150" s="97"/>
      <c r="AV150" s="97"/>
      <c r="AW150" s="97"/>
      <c r="AX150" s="97"/>
      <c r="AY150" s="97"/>
      <c r="AZ150" s="97"/>
      <c r="BA150" s="97"/>
      <c r="BB150" s="97"/>
      <c r="BC150" s="97"/>
      <c r="BD150" s="97"/>
      <c r="BE150" s="97"/>
    </row>
    <row r="151" s="115" customFormat="1" customHeight="1" spans="1:57">
      <c r="A151" s="115" t="s">
        <v>3600</v>
      </c>
      <c r="B151" s="111" t="s">
        <v>3601</v>
      </c>
      <c r="C151" s="554" t="s">
        <v>3602</v>
      </c>
      <c r="D151" s="121" t="s">
        <v>3603</v>
      </c>
      <c r="E151" s="266">
        <v>13838375053</v>
      </c>
      <c r="F151" s="267">
        <v>4</v>
      </c>
      <c r="G151" s="268" t="s">
        <v>3604</v>
      </c>
      <c r="H151" s="268">
        <v>9.81</v>
      </c>
      <c r="I151" s="274" t="s">
        <v>2657</v>
      </c>
      <c r="J151" s="113" t="s">
        <v>3605</v>
      </c>
      <c r="K151" s="266">
        <v>9.39</v>
      </c>
      <c r="L151" s="266" t="s">
        <v>3139</v>
      </c>
      <c r="M151" s="275" t="s">
        <v>3606</v>
      </c>
      <c r="N151" s="113" t="s">
        <v>66</v>
      </c>
      <c r="O151" s="113"/>
      <c r="P151" s="113"/>
      <c r="Q151" s="113">
        <v>27875.51</v>
      </c>
      <c r="R151" s="113">
        <v>273459</v>
      </c>
      <c r="S151" s="280">
        <v>143459</v>
      </c>
      <c r="T151" s="281">
        <v>130000</v>
      </c>
      <c r="U151" s="280"/>
      <c r="V151" s="280">
        <v>637</v>
      </c>
      <c r="W151" s="280">
        <v>550</v>
      </c>
      <c r="X151" s="280"/>
      <c r="Y151" s="113"/>
      <c r="Z151" s="113"/>
      <c r="AA151" s="275"/>
      <c r="AB151" s="113" t="s">
        <v>3607</v>
      </c>
      <c r="AC151" s="113"/>
      <c r="AD151" s="113"/>
      <c r="AE151" s="133"/>
      <c r="AF151" s="115" t="s">
        <v>208</v>
      </c>
      <c r="AG151" s="133" t="s">
        <v>3608</v>
      </c>
      <c r="AH151" s="133"/>
      <c r="AI151" s="132">
        <f t="shared" si="45"/>
        <v>144646</v>
      </c>
      <c r="AJ151" s="132">
        <f t="shared" si="46"/>
        <v>144646</v>
      </c>
      <c r="AK151" s="133">
        <f t="shared" si="47"/>
        <v>0</v>
      </c>
      <c r="AL151" s="132"/>
      <c r="AM151" s="133"/>
      <c r="AN151" s="246">
        <v>44841</v>
      </c>
      <c r="AO151" s="137"/>
      <c r="AP151" s="97"/>
      <c r="AQ151" s="97"/>
      <c r="AR151" s="97"/>
      <c r="AS151" s="97"/>
      <c r="AT151" s="97"/>
      <c r="AU151" s="97"/>
      <c r="AV151" s="97"/>
      <c r="AW151" s="97"/>
      <c r="AX151" s="97"/>
      <c r="AY151" s="97"/>
      <c r="AZ151" s="97"/>
      <c r="BA151" s="97"/>
      <c r="BB151" s="97"/>
      <c r="BC151" s="97"/>
      <c r="BD151" s="97"/>
      <c r="BE151" s="97"/>
    </row>
    <row r="152" s="115" customFormat="1" customHeight="1" spans="1:57">
      <c r="A152" s="115" t="s">
        <v>3609</v>
      </c>
      <c r="B152" s="111" t="s">
        <v>3610</v>
      </c>
      <c r="C152" s="111" t="s">
        <v>3611</v>
      </c>
      <c r="D152" s="121" t="s">
        <v>3612</v>
      </c>
      <c r="E152" s="266">
        <v>13103848808</v>
      </c>
      <c r="F152" s="267">
        <v>3</v>
      </c>
      <c r="G152" s="268">
        <v>3874</v>
      </c>
      <c r="H152" s="268">
        <v>22.05</v>
      </c>
      <c r="I152" s="274" t="s">
        <v>2657</v>
      </c>
      <c r="J152" s="113" t="s">
        <v>3613</v>
      </c>
      <c r="K152" s="266">
        <v>21.68</v>
      </c>
      <c r="L152" s="266" t="s">
        <v>3614</v>
      </c>
      <c r="M152" s="275" t="s">
        <v>2698</v>
      </c>
      <c r="N152" s="113" t="s">
        <v>66</v>
      </c>
      <c r="O152" s="113"/>
      <c r="P152" s="113"/>
      <c r="Q152" s="113">
        <v>31826.57</v>
      </c>
      <c r="R152" s="113">
        <v>690000</v>
      </c>
      <c r="S152" s="280">
        <v>350000</v>
      </c>
      <c r="T152" s="281">
        <v>340000</v>
      </c>
      <c r="U152" s="280"/>
      <c r="V152" s="280"/>
      <c r="W152" s="280"/>
      <c r="X152" s="280"/>
      <c r="Y152" s="113"/>
      <c r="Z152" s="113"/>
      <c r="AA152" s="275"/>
      <c r="AB152" s="113" t="s">
        <v>3615</v>
      </c>
      <c r="AC152" s="113"/>
      <c r="AD152" s="113"/>
      <c r="AE152" s="133"/>
      <c r="AG152" s="133"/>
      <c r="AH152" s="133"/>
      <c r="AI152" s="132">
        <f t="shared" si="45"/>
        <v>350000</v>
      </c>
      <c r="AJ152" s="132">
        <f t="shared" si="46"/>
        <v>350000</v>
      </c>
      <c r="AK152" s="133">
        <f t="shared" si="47"/>
        <v>0</v>
      </c>
      <c r="AL152" s="132"/>
      <c r="AM152" s="133"/>
      <c r="AN152" s="246">
        <v>44841</v>
      </c>
      <c r="AO152" s="137"/>
      <c r="AP152" s="97"/>
      <c r="AQ152" s="97"/>
      <c r="AR152" s="97"/>
      <c r="AS152" s="97"/>
      <c r="AT152" s="97"/>
      <c r="AU152" s="97"/>
      <c r="AV152" s="97"/>
      <c r="AW152" s="97"/>
      <c r="AX152" s="97"/>
      <c r="AY152" s="97"/>
      <c r="AZ152" s="97"/>
      <c r="BA152" s="97"/>
      <c r="BB152" s="97"/>
      <c r="BC152" s="97"/>
      <c r="BD152" s="97"/>
      <c r="BE152" s="97"/>
    </row>
    <row r="153" s="115" customFormat="1" customHeight="1" spans="1:57">
      <c r="A153" s="115" t="s">
        <v>3616</v>
      </c>
      <c r="B153" s="111" t="s">
        <v>3617</v>
      </c>
      <c r="C153" s="554" t="s">
        <v>3618</v>
      </c>
      <c r="D153" s="121" t="s">
        <v>3619</v>
      </c>
      <c r="E153" s="266">
        <v>13899286801</v>
      </c>
      <c r="F153" s="267">
        <v>1</v>
      </c>
      <c r="G153" s="268">
        <v>1709</v>
      </c>
      <c r="H153" s="268">
        <v>40.39</v>
      </c>
      <c r="I153" s="274" t="s">
        <v>2665</v>
      </c>
      <c r="J153" s="113" t="s">
        <v>3620</v>
      </c>
      <c r="K153" s="266">
        <v>41.78</v>
      </c>
      <c r="L153" s="266" t="s">
        <v>2712</v>
      </c>
      <c r="M153" s="275" t="s">
        <v>3621</v>
      </c>
      <c r="N153" s="113" t="s">
        <v>56</v>
      </c>
      <c r="O153" s="113"/>
      <c r="P153" s="113"/>
      <c r="Q153" s="113">
        <v>46389.23</v>
      </c>
      <c r="R153" s="113">
        <v>1873661</v>
      </c>
      <c r="S153" s="280">
        <v>1873661</v>
      </c>
      <c r="T153" s="281">
        <v>0</v>
      </c>
      <c r="U153" s="280"/>
      <c r="V153" s="280">
        <v>2625</v>
      </c>
      <c r="W153" s="280">
        <v>550</v>
      </c>
      <c r="X153" s="280">
        <v>61306</v>
      </c>
      <c r="Y153" s="113" t="s">
        <v>2669</v>
      </c>
      <c r="Z153" s="113"/>
      <c r="AA153" s="275"/>
      <c r="AB153" s="113"/>
      <c r="AC153" s="113"/>
      <c r="AD153" s="113"/>
      <c r="AE153" s="133"/>
      <c r="AF153" s="115" t="s">
        <v>123</v>
      </c>
      <c r="AG153" s="133"/>
      <c r="AH153" s="133"/>
      <c r="AI153" s="132">
        <f t="shared" si="45"/>
        <v>1938142</v>
      </c>
      <c r="AJ153" s="132">
        <f t="shared" si="46"/>
        <v>1938142</v>
      </c>
      <c r="AK153" s="133">
        <f t="shared" si="47"/>
        <v>0</v>
      </c>
      <c r="AL153" s="132"/>
      <c r="AM153" s="133"/>
      <c r="AN153" s="246">
        <v>44841</v>
      </c>
      <c r="AO153" s="137"/>
      <c r="AP153" s="97"/>
      <c r="AQ153" s="97"/>
      <c r="AR153" s="97"/>
      <c r="AS153" s="97"/>
      <c r="AT153" s="97"/>
      <c r="AU153" s="97"/>
      <c r="AV153" s="97"/>
      <c r="AW153" s="97"/>
      <c r="AX153" s="97"/>
      <c r="AY153" s="97"/>
      <c r="AZ153" s="97"/>
      <c r="BA153" s="97"/>
      <c r="BB153" s="97"/>
      <c r="BC153" s="97"/>
      <c r="BD153" s="97"/>
      <c r="BE153" s="97"/>
    </row>
    <row r="154" s="115" customFormat="1" customHeight="1" spans="1:57">
      <c r="A154" s="115" t="s">
        <v>3622</v>
      </c>
      <c r="B154" s="111" t="s">
        <v>3623</v>
      </c>
      <c r="C154" s="111" t="s">
        <v>3624</v>
      </c>
      <c r="D154" s="121" t="s">
        <v>3625</v>
      </c>
      <c r="E154" s="266">
        <v>15936206691</v>
      </c>
      <c r="F154" s="267">
        <v>3</v>
      </c>
      <c r="G154" s="268">
        <v>3954</v>
      </c>
      <c r="H154" s="268">
        <v>15.14</v>
      </c>
      <c r="I154" s="274" t="s">
        <v>2657</v>
      </c>
      <c r="J154" s="113" t="s">
        <v>3626</v>
      </c>
      <c r="K154" s="266">
        <v>15.97</v>
      </c>
      <c r="L154" s="266" t="s">
        <v>3627</v>
      </c>
      <c r="M154" s="275" t="s">
        <v>3628</v>
      </c>
      <c r="N154" s="113" t="s">
        <v>66</v>
      </c>
      <c r="O154" s="113"/>
      <c r="P154" s="113"/>
      <c r="Q154" s="113">
        <v>31934.88</v>
      </c>
      <c r="R154" s="113">
        <v>510000</v>
      </c>
      <c r="S154" s="280">
        <v>260000</v>
      </c>
      <c r="T154" s="281">
        <v>250000</v>
      </c>
      <c r="U154" s="280"/>
      <c r="V154" s="280"/>
      <c r="W154" s="280"/>
      <c r="X154" s="280"/>
      <c r="Y154" s="113"/>
      <c r="Z154" s="113"/>
      <c r="AA154" s="275"/>
      <c r="AB154" s="113"/>
      <c r="AC154" s="113"/>
      <c r="AD154" s="113"/>
      <c r="AE154" s="133"/>
      <c r="AG154" s="133"/>
      <c r="AH154" s="133"/>
      <c r="AI154" s="132">
        <f t="shared" si="45"/>
        <v>260000</v>
      </c>
      <c r="AJ154" s="132">
        <f t="shared" si="46"/>
        <v>260000</v>
      </c>
      <c r="AK154" s="133">
        <f t="shared" si="47"/>
        <v>0</v>
      </c>
      <c r="AL154" s="132"/>
      <c r="AM154" s="133"/>
      <c r="AN154" s="246">
        <v>44841</v>
      </c>
      <c r="AO154" s="137"/>
      <c r="AP154" s="97"/>
      <c r="AQ154" s="97"/>
      <c r="AR154" s="97"/>
      <c r="AS154" s="97"/>
      <c r="AT154" s="97"/>
      <c r="AU154" s="97"/>
      <c r="AV154" s="97"/>
      <c r="AW154" s="97"/>
      <c r="AX154" s="97"/>
      <c r="AY154" s="97"/>
      <c r="AZ154" s="97"/>
      <c r="BA154" s="97"/>
      <c r="BB154" s="97"/>
      <c r="BC154" s="97"/>
      <c r="BD154" s="97"/>
      <c r="BE154" s="97"/>
    </row>
    <row r="155" s="115" customFormat="1" customHeight="1" spans="1:57">
      <c r="A155" s="115" t="s">
        <v>3629</v>
      </c>
      <c r="B155" s="111" t="s">
        <v>3630</v>
      </c>
      <c r="C155" s="554" t="s">
        <v>3631</v>
      </c>
      <c r="D155" s="121" t="s">
        <v>3632</v>
      </c>
      <c r="E155" s="266">
        <v>13592690160</v>
      </c>
      <c r="F155" s="267">
        <v>1</v>
      </c>
      <c r="G155" s="268">
        <v>1767</v>
      </c>
      <c r="H155" s="268">
        <v>16.39</v>
      </c>
      <c r="I155" s="274" t="s">
        <v>2657</v>
      </c>
      <c r="J155" s="113" t="s">
        <v>3633</v>
      </c>
      <c r="K155" s="266">
        <v>15.76</v>
      </c>
      <c r="L155" s="266" t="s">
        <v>3497</v>
      </c>
      <c r="M155" s="275" t="s">
        <v>3634</v>
      </c>
      <c r="N155" s="113" t="s">
        <v>66</v>
      </c>
      <c r="O155" s="113"/>
      <c r="P155" s="113"/>
      <c r="Q155" s="113">
        <v>47774.24</v>
      </c>
      <c r="R155" s="113">
        <v>752922</v>
      </c>
      <c r="S155" s="280">
        <v>392922</v>
      </c>
      <c r="T155" s="281">
        <v>360000</v>
      </c>
      <c r="U155" s="280"/>
      <c r="V155" s="280"/>
      <c r="W155" s="280"/>
      <c r="X155" s="280"/>
      <c r="Y155" s="113"/>
      <c r="Z155" s="113"/>
      <c r="AA155" s="275"/>
      <c r="AB155" s="113"/>
      <c r="AC155" s="113"/>
      <c r="AD155" s="113"/>
      <c r="AE155" s="133"/>
      <c r="AG155" s="133"/>
      <c r="AH155" s="133"/>
      <c r="AI155" s="132">
        <f t="shared" si="45"/>
        <v>392922</v>
      </c>
      <c r="AJ155" s="132">
        <f t="shared" si="46"/>
        <v>392922</v>
      </c>
      <c r="AK155" s="133">
        <f t="shared" si="47"/>
        <v>0</v>
      </c>
      <c r="AL155" s="132"/>
      <c r="AM155" s="133"/>
      <c r="AN155" s="246">
        <v>44841</v>
      </c>
      <c r="AO155" s="137"/>
      <c r="AP155" s="97"/>
      <c r="AQ155" s="97"/>
      <c r="AR155" s="97"/>
      <c r="AS155" s="97"/>
      <c r="AT155" s="97"/>
      <c r="AU155" s="97"/>
      <c r="AV155" s="97"/>
      <c r="AW155" s="97"/>
      <c r="AX155" s="97"/>
      <c r="AY155" s="97"/>
      <c r="AZ155" s="97"/>
      <c r="BA155" s="97"/>
      <c r="BB155" s="97"/>
      <c r="BC155" s="97"/>
      <c r="BD155" s="97"/>
      <c r="BE155" s="97"/>
    </row>
    <row r="156" s="115" customFormat="1" customHeight="1" spans="1:57">
      <c r="A156" s="115" t="s">
        <v>3635</v>
      </c>
      <c r="B156" s="111" t="s">
        <v>3636</v>
      </c>
      <c r="C156" s="111" t="s">
        <v>3637</v>
      </c>
      <c r="D156" s="121" t="s">
        <v>3638</v>
      </c>
      <c r="E156" s="266">
        <v>13503993096</v>
      </c>
      <c r="F156" s="267">
        <v>3</v>
      </c>
      <c r="G156" s="268">
        <v>3848</v>
      </c>
      <c r="H156" s="268">
        <v>20.09</v>
      </c>
      <c r="I156" s="274" t="s">
        <v>2657</v>
      </c>
      <c r="J156" s="113" t="s">
        <v>3639</v>
      </c>
      <c r="K156" s="266">
        <v>18.85</v>
      </c>
      <c r="L156" s="266" t="s">
        <v>3640</v>
      </c>
      <c r="M156" s="275" t="s">
        <v>3108</v>
      </c>
      <c r="N156" s="113" t="s">
        <v>66</v>
      </c>
      <c r="O156" s="113"/>
      <c r="P156" s="113"/>
      <c r="Q156" s="113">
        <v>31263.61</v>
      </c>
      <c r="R156" s="113">
        <v>589319</v>
      </c>
      <c r="S156" s="280">
        <v>299319</v>
      </c>
      <c r="T156" s="281">
        <v>290000</v>
      </c>
      <c r="U156" s="280"/>
      <c r="V156" s="280"/>
      <c r="W156" s="280"/>
      <c r="X156" s="280"/>
      <c r="Y156" s="113"/>
      <c r="Z156" s="113"/>
      <c r="AA156" s="275"/>
      <c r="AB156" s="113" t="s">
        <v>2976</v>
      </c>
      <c r="AC156" s="113"/>
      <c r="AD156" s="113"/>
      <c r="AE156" s="133"/>
      <c r="AF156" s="115" t="s">
        <v>3641</v>
      </c>
      <c r="AG156" s="133" t="s">
        <v>3642</v>
      </c>
      <c r="AH156" s="133"/>
      <c r="AI156" s="132">
        <f t="shared" si="45"/>
        <v>299319</v>
      </c>
      <c r="AJ156" s="132">
        <f t="shared" si="46"/>
        <v>299319</v>
      </c>
      <c r="AK156" s="133">
        <f t="shared" si="47"/>
        <v>0</v>
      </c>
      <c r="AL156" s="132"/>
      <c r="AM156" s="133"/>
      <c r="AN156" s="246">
        <v>44841</v>
      </c>
      <c r="AO156" s="137"/>
      <c r="AP156" s="97"/>
      <c r="AQ156" s="97"/>
      <c r="AR156" s="97"/>
      <c r="AS156" s="97"/>
      <c r="AT156" s="97"/>
      <c r="AU156" s="97"/>
      <c r="AV156" s="97"/>
      <c r="AW156" s="97"/>
      <c r="AX156" s="97"/>
      <c r="AY156" s="97"/>
      <c r="AZ156" s="97"/>
      <c r="BA156" s="97"/>
      <c r="BB156" s="97"/>
      <c r="BC156" s="97"/>
      <c r="BD156" s="97"/>
      <c r="BE156" s="97"/>
    </row>
    <row r="157" s="115" customFormat="1" customHeight="1" spans="1:57">
      <c r="A157" s="115" t="s">
        <v>3643</v>
      </c>
      <c r="B157" s="111" t="s">
        <v>3644</v>
      </c>
      <c r="C157" s="111" t="s">
        <v>3645</v>
      </c>
      <c r="D157" s="121" t="s">
        <v>3646</v>
      </c>
      <c r="E157" s="266">
        <v>15736778847</v>
      </c>
      <c r="F157" s="267">
        <v>3</v>
      </c>
      <c r="G157" s="268">
        <v>3421</v>
      </c>
      <c r="H157" s="268">
        <v>21.58</v>
      </c>
      <c r="I157" s="274" t="s">
        <v>2657</v>
      </c>
      <c r="J157" s="113" t="s">
        <v>3647</v>
      </c>
      <c r="K157" s="266">
        <v>15.65</v>
      </c>
      <c r="L157" s="266" t="s">
        <v>2982</v>
      </c>
      <c r="M157" s="275" t="s">
        <v>3490</v>
      </c>
      <c r="N157" s="113" t="s">
        <v>66</v>
      </c>
      <c r="O157" s="113"/>
      <c r="P157" s="113"/>
      <c r="Q157" s="113">
        <v>32453.35</v>
      </c>
      <c r="R157" s="113">
        <v>507895</v>
      </c>
      <c r="S157" s="280">
        <v>257895</v>
      </c>
      <c r="T157" s="281">
        <v>250000</v>
      </c>
      <c r="U157" s="280"/>
      <c r="V157" s="280"/>
      <c r="W157" s="280"/>
      <c r="X157" s="280"/>
      <c r="Y157" s="113"/>
      <c r="Z157" s="113"/>
      <c r="AA157" s="275"/>
      <c r="AB157" s="113"/>
      <c r="AC157" s="113"/>
      <c r="AD157" s="113"/>
      <c r="AE157" s="133"/>
      <c r="AG157" s="133"/>
      <c r="AH157" s="133"/>
      <c r="AI157" s="132">
        <f t="shared" si="45"/>
        <v>257895</v>
      </c>
      <c r="AJ157" s="132">
        <f t="shared" si="46"/>
        <v>257895</v>
      </c>
      <c r="AK157" s="133">
        <f t="shared" si="47"/>
        <v>0</v>
      </c>
      <c r="AL157" s="132"/>
      <c r="AM157" s="133"/>
      <c r="AN157" s="246">
        <v>44841</v>
      </c>
      <c r="AO157" s="137"/>
      <c r="AP157" s="97"/>
      <c r="AQ157" s="97"/>
      <c r="AR157" s="97"/>
      <c r="AS157" s="97"/>
      <c r="AT157" s="97"/>
      <c r="AU157" s="97"/>
      <c r="AV157" s="97"/>
      <c r="AW157" s="97"/>
      <c r="AX157" s="97"/>
      <c r="AY157" s="97"/>
      <c r="AZ157" s="97"/>
      <c r="BA157" s="97"/>
      <c r="BB157" s="97"/>
      <c r="BC157" s="97"/>
      <c r="BD157" s="97"/>
      <c r="BE157" s="97"/>
    </row>
    <row r="158" s="115" customFormat="1" customHeight="1" spans="1:57">
      <c r="A158" s="115" t="s">
        <v>3648</v>
      </c>
      <c r="B158" s="111" t="s">
        <v>3649</v>
      </c>
      <c r="C158" s="554" t="s">
        <v>3650</v>
      </c>
      <c r="D158" s="121" t="s">
        <v>3651</v>
      </c>
      <c r="E158" s="266">
        <v>13707651482</v>
      </c>
      <c r="F158" s="267">
        <v>3</v>
      </c>
      <c r="G158" s="268">
        <v>3683</v>
      </c>
      <c r="H158" s="268">
        <v>17</v>
      </c>
      <c r="I158" s="274" t="s">
        <v>2657</v>
      </c>
      <c r="J158" s="113" t="s">
        <v>3652</v>
      </c>
      <c r="K158" s="266">
        <v>15.84</v>
      </c>
      <c r="L158" s="266" t="s">
        <v>2891</v>
      </c>
      <c r="M158" s="275" t="s">
        <v>3653</v>
      </c>
      <c r="N158" s="113" t="s">
        <v>66</v>
      </c>
      <c r="O158" s="113"/>
      <c r="P158" s="113"/>
      <c r="Q158" s="113">
        <v>32196.97</v>
      </c>
      <c r="R158" s="113">
        <v>547348</v>
      </c>
      <c r="S158" s="280">
        <v>277348</v>
      </c>
      <c r="T158" s="281">
        <v>270000</v>
      </c>
      <c r="U158" s="280"/>
      <c r="V158" s="280">
        <v>1105</v>
      </c>
      <c r="W158" s="280">
        <v>550</v>
      </c>
      <c r="X158" s="280"/>
      <c r="Y158" s="113" t="s">
        <v>2669</v>
      </c>
      <c r="Z158" s="113"/>
      <c r="AA158" s="275"/>
      <c r="AB158" s="113"/>
      <c r="AC158" s="113">
        <v>1247</v>
      </c>
      <c r="AD158" s="113"/>
      <c r="AE158" s="133"/>
      <c r="AG158" s="133"/>
      <c r="AH158" s="133"/>
      <c r="AI158" s="132">
        <f t="shared" ref="AI158:AI164" si="48">S158+U158+V158+W158+X158+AC158+AD158+AE158</f>
        <v>280250</v>
      </c>
      <c r="AJ158" s="132">
        <f t="shared" ref="AJ158:AJ164" si="49">S158+U158+V158+W158+X158</f>
        <v>279003</v>
      </c>
      <c r="AK158" s="133">
        <f t="shared" ref="AK158:AK164" si="50">AI158-AJ158</f>
        <v>1247</v>
      </c>
      <c r="AL158" s="132"/>
      <c r="AM158" s="133"/>
      <c r="AN158" s="246">
        <v>44841</v>
      </c>
      <c r="AO158" s="137"/>
      <c r="AP158" s="97"/>
      <c r="AQ158" s="97"/>
      <c r="AR158" s="97"/>
      <c r="AS158" s="97"/>
      <c r="AT158" s="97"/>
      <c r="AU158" s="97"/>
      <c r="AV158" s="97"/>
      <c r="AW158" s="97"/>
      <c r="AX158" s="97"/>
      <c r="AY158" s="97"/>
      <c r="AZ158" s="97"/>
      <c r="BA158" s="97"/>
      <c r="BB158" s="97"/>
      <c r="BC158" s="97"/>
      <c r="BD158" s="97"/>
      <c r="BE158" s="97"/>
    </row>
    <row r="159" s="115" customFormat="1" customHeight="1" spans="1:57">
      <c r="A159" s="115" t="s">
        <v>3654</v>
      </c>
      <c r="B159" s="111" t="s">
        <v>3655</v>
      </c>
      <c r="C159" s="554" t="s">
        <v>3656</v>
      </c>
      <c r="D159" s="121" t="s">
        <v>3657</v>
      </c>
      <c r="E159" s="266">
        <v>15737188845</v>
      </c>
      <c r="F159" s="267">
        <v>1</v>
      </c>
      <c r="G159" s="268">
        <v>1632</v>
      </c>
      <c r="H159" s="268">
        <v>16.44</v>
      </c>
      <c r="I159" s="274" t="s">
        <v>2657</v>
      </c>
      <c r="J159" s="113" t="s">
        <v>3658</v>
      </c>
      <c r="K159" s="266">
        <v>17.33</v>
      </c>
      <c r="L159" s="266" t="s">
        <v>2746</v>
      </c>
      <c r="M159" s="275" t="s">
        <v>3001</v>
      </c>
      <c r="N159" s="113" t="s">
        <v>66</v>
      </c>
      <c r="O159" s="113"/>
      <c r="P159" s="113"/>
      <c r="Q159" s="113">
        <v>47936.76</v>
      </c>
      <c r="R159" s="113">
        <v>830744</v>
      </c>
      <c r="S159" s="280">
        <v>590744</v>
      </c>
      <c r="T159" s="281">
        <v>240000</v>
      </c>
      <c r="U159" s="280"/>
      <c r="V159" s="280"/>
      <c r="W159" s="280"/>
      <c r="X159" s="280"/>
      <c r="Y159" s="113"/>
      <c r="Z159" s="113"/>
      <c r="AA159" s="275"/>
      <c r="AB159" s="113"/>
      <c r="AC159" s="113"/>
      <c r="AD159" s="113"/>
      <c r="AE159" s="133"/>
      <c r="AF159" s="115" t="s">
        <v>123</v>
      </c>
      <c r="AG159" s="133"/>
      <c r="AH159" s="133"/>
      <c r="AI159" s="132">
        <f t="shared" si="48"/>
        <v>590744</v>
      </c>
      <c r="AJ159" s="132">
        <f t="shared" si="49"/>
        <v>590744</v>
      </c>
      <c r="AK159" s="133">
        <f t="shared" si="50"/>
        <v>0</v>
      </c>
      <c r="AL159" s="132"/>
      <c r="AM159" s="133"/>
      <c r="AN159" s="246">
        <v>44841</v>
      </c>
      <c r="AO159" s="137"/>
      <c r="AP159" s="97"/>
      <c r="AQ159" s="97"/>
      <c r="AR159" s="97"/>
      <c r="AS159" s="97"/>
      <c r="AT159" s="97"/>
      <c r="AU159" s="97"/>
      <c r="AV159" s="97"/>
      <c r="AW159" s="97"/>
      <c r="AX159" s="97"/>
      <c r="AY159" s="97"/>
      <c r="AZ159" s="97"/>
      <c r="BA159" s="97"/>
      <c r="BB159" s="97"/>
      <c r="BC159" s="97"/>
      <c r="BD159" s="97"/>
      <c r="BE159" s="97"/>
    </row>
    <row r="160" s="115" customFormat="1" customHeight="1" spans="1:57">
      <c r="A160" s="115" t="s">
        <v>3659</v>
      </c>
      <c r="B160" s="111" t="s">
        <v>3660</v>
      </c>
      <c r="C160" s="554" t="s">
        <v>3661</v>
      </c>
      <c r="D160" s="121" t="s">
        <v>3662</v>
      </c>
      <c r="E160" s="266">
        <v>15003876908</v>
      </c>
      <c r="F160" s="267">
        <v>4</v>
      </c>
      <c r="G160" s="268">
        <v>4443</v>
      </c>
      <c r="H160" s="268">
        <v>12.05</v>
      </c>
      <c r="I160" s="274" t="s">
        <v>2657</v>
      </c>
      <c r="J160" s="113" t="s">
        <v>3663</v>
      </c>
      <c r="K160" s="266">
        <v>10.66</v>
      </c>
      <c r="L160" s="266" t="s">
        <v>3664</v>
      </c>
      <c r="M160" s="275" t="s">
        <v>3665</v>
      </c>
      <c r="N160" s="113" t="s">
        <v>2677</v>
      </c>
      <c r="O160" s="113"/>
      <c r="P160" s="113"/>
      <c r="Q160" s="113">
        <v>27421.86</v>
      </c>
      <c r="R160" s="113">
        <v>292317</v>
      </c>
      <c r="S160" s="280">
        <v>292317</v>
      </c>
      <c r="T160" s="281"/>
      <c r="U160" s="280"/>
      <c r="V160" s="280"/>
      <c r="W160" s="280"/>
      <c r="X160" s="280"/>
      <c r="Y160" s="113"/>
      <c r="Z160" s="113"/>
      <c r="AA160" s="275"/>
      <c r="AB160" s="113"/>
      <c r="AC160" s="113"/>
      <c r="AD160" s="113"/>
      <c r="AE160" s="133"/>
      <c r="AF160" s="115" t="s">
        <v>208</v>
      </c>
      <c r="AG160" s="133" t="s">
        <v>3666</v>
      </c>
      <c r="AH160" s="133"/>
      <c r="AI160" s="132">
        <f t="shared" si="48"/>
        <v>292317</v>
      </c>
      <c r="AJ160" s="132">
        <f t="shared" si="49"/>
        <v>292317</v>
      </c>
      <c r="AK160" s="133">
        <f t="shared" si="50"/>
        <v>0</v>
      </c>
      <c r="AL160" s="132"/>
      <c r="AM160" s="133"/>
      <c r="AN160" s="246">
        <v>44841</v>
      </c>
      <c r="AO160" s="137"/>
      <c r="AP160" s="97"/>
      <c r="AQ160" s="97"/>
      <c r="AR160" s="97"/>
      <c r="AS160" s="97"/>
      <c r="AT160" s="97"/>
      <c r="AU160" s="97"/>
      <c r="AV160" s="97"/>
      <c r="AW160" s="97"/>
      <c r="AX160" s="97"/>
      <c r="AY160" s="97"/>
      <c r="AZ160" s="97"/>
      <c r="BA160" s="97"/>
      <c r="BB160" s="97"/>
      <c r="BC160" s="97"/>
      <c r="BD160" s="97"/>
      <c r="BE160" s="97"/>
    </row>
    <row r="161" s="115" customFormat="1" customHeight="1" spans="1:57">
      <c r="A161" s="115" t="s">
        <v>3667</v>
      </c>
      <c r="B161" s="111" t="s">
        <v>3660</v>
      </c>
      <c r="C161" s="554" t="s">
        <v>3661</v>
      </c>
      <c r="D161" s="121" t="s">
        <v>3662</v>
      </c>
      <c r="E161" s="266">
        <v>15003876908</v>
      </c>
      <c r="F161" s="267">
        <v>4</v>
      </c>
      <c r="G161" s="268">
        <v>4444</v>
      </c>
      <c r="H161" s="268">
        <v>12.05</v>
      </c>
      <c r="I161" s="274" t="s">
        <v>2657</v>
      </c>
      <c r="J161" s="113" t="s">
        <v>3668</v>
      </c>
      <c r="K161" s="266">
        <v>10.73</v>
      </c>
      <c r="L161" s="266" t="s">
        <v>3664</v>
      </c>
      <c r="M161" s="275" t="s">
        <v>3665</v>
      </c>
      <c r="N161" s="113" t="s">
        <v>56</v>
      </c>
      <c r="O161" s="113"/>
      <c r="P161" s="113"/>
      <c r="Q161" s="113">
        <v>27421.9</v>
      </c>
      <c r="R161" s="113">
        <v>294237</v>
      </c>
      <c r="S161" s="280">
        <v>294237</v>
      </c>
      <c r="T161" s="281"/>
      <c r="U161" s="280"/>
      <c r="V161" s="280"/>
      <c r="W161" s="280"/>
      <c r="X161" s="280"/>
      <c r="Y161" s="113"/>
      <c r="Z161" s="113"/>
      <c r="AA161" s="275"/>
      <c r="AB161" s="113"/>
      <c r="AC161" s="113"/>
      <c r="AD161" s="113"/>
      <c r="AE161" s="133"/>
      <c r="AF161" s="115" t="s">
        <v>208</v>
      </c>
      <c r="AG161" s="133"/>
      <c r="AH161" s="133"/>
      <c r="AI161" s="132">
        <f t="shared" si="48"/>
        <v>294237</v>
      </c>
      <c r="AJ161" s="132">
        <f t="shared" si="49"/>
        <v>294237</v>
      </c>
      <c r="AK161" s="133">
        <f t="shared" si="50"/>
        <v>0</v>
      </c>
      <c r="AL161" s="132"/>
      <c r="AM161" s="133"/>
      <c r="AN161" s="246">
        <v>44841</v>
      </c>
      <c r="AO161" s="137"/>
      <c r="AP161" s="97"/>
      <c r="AQ161" s="97"/>
      <c r="AR161" s="97"/>
      <c r="AS161" s="97"/>
      <c r="AT161" s="97"/>
      <c r="AU161" s="97"/>
      <c r="AV161" s="97"/>
      <c r="AW161" s="97"/>
      <c r="AX161" s="97"/>
      <c r="AY161" s="97"/>
      <c r="AZ161" s="97"/>
      <c r="BA161" s="97"/>
      <c r="BB161" s="97"/>
      <c r="BC161" s="97"/>
      <c r="BD161" s="97"/>
      <c r="BE161" s="97"/>
    </row>
    <row r="162" s="115" customFormat="1" customHeight="1" spans="1:57">
      <c r="A162" s="115" t="s">
        <v>3669</v>
      </c>
      <c r="B162" s="111" t="s">
        <v>3670</v>
      </c>
      <c r="C162" s="554" t="s">
        <v>3671</v>
      </c>
      <c r="D162" s="121" t="s">
        <v>3672</v>
      </c>
      <c r="E162" s="266">
        <v>15137489291</v>
      </c>
      <c r="F162" s="267">
        <v>1</v>
      </c>
      <c r="G162" s="268">
        <v>1640</v>
      </c>
      <c r="H162" s="268">
        <v>18.4</v>
      </c>
      <c r="I162" s="274" t="s">
        <v>2657</v>
      </c>
      <c r="J162" s="113" t="s">
        <v>3673</v>
      </c>
      <c r="K162" s="266">
        <v>16.84</v>
      </c>
      <c r="L162" s="266" t="s">
        <v>3674</v>
      </c>
      <c r="M162" s="275" t="s">
        <v>2676</v>
      </c>
      <c r="N162" s="113" t="s">
        <v>66</v>
      </c>
      <c r="O162" s="113"/>
      <c r="P162" s="113"/>
      <c r="Q162" s="113">
        <v>48718.94</v>
      </c>
      <c r="R162" s="113">
        <v>820427</v>
      </c>
      <c r="S162" s="280">
        <v>410427</v>
      </c>
      <c r="T162" s="281">
        <v>410000</v>
      </c>
      <c r="U162" s="280"/>
      <c r="V162" s="280"/>
      <c r="W162" s="280"/>
      <c r="X162" s="280"/>
      <c r="Y162" s="113"/>
      <c r="Z162" s="113"/>
      <c r="AA162" s="275"/>
      <c r="AB162" s="113"/>
      <c r="AC162" s="113"/>
      <c r="AD162" s="113"/>
      <c r="AE162" s="133"/>
      <c r="AF162" s="115" t="s">
        <v>123</v>
      </c>
      <c r="AG162" s="133"/>
      <c r="AH162" s="133"/>
      <c r="AI162" s="132">
        <f t="shared" si="48"/>
        <v>410427</v>
      </c>
      <c r="AJ162" s="132">
        <f t="shared" si="49"/>
        <v>410427</v>
      </c>
      <c r="AK162" s="133">
        <f t="shared" si="50"/>
        <v>0</v>
      </c>
      <c r="AL162" s="132"/>
      <c r="AM162" s="133"/>
      <c r="AN162" s="246">
        <v>44841</v>
      </c>
      <c r="AO162" s="137"/>
      <c r="AP162" s="97"/>
      <c r="AQ162" s="97"/>
      <c r="AR162" s="97"/>
      <c r="AS162" s="97"/>
      <c r="AT162" s="97"/>
      <c r="AU162" s="97"/>
      <c r="AV162" s="97"/>
      <c r="AW162" s="97"/>
      <c r="AX162" s="97"/>
      <c r="AY162" s="97"/>
      <c r="AZ162" s="97"/>
      <c r="BA162" s="97"/>
      <c r="BB162" s="97"/>
      <c r="BC162" s="97"/>
      <c r="BD162" s="97"/>
      <c r="BE162" s="97"/>
    </row>
    <row r="163" s="115" customFormat="1" customHeight="1" spans="1:57">
      <c r="A163" s="115" t="s">
        <v>3675</v>
      </c>
      <c r="B163" s="111" t="s">
        <v>3676</v>
      </c>
      <c r="C163" s="111" t="s">
        <v>3677</v>
      </c>
      <c r="D163" s="121" t="s">
        <v>3678</v>
      </c>
      <c r="E163" s="266">
        <v>13503993096</v>
      </c>
      <c r="F163" s="267">
        <v>3</v>
      </c>
      <c r="G163" s="268">
        <v>3326</v>
      </c>
      <c r="H163" s="268">
        <v>23.59</v>
      </c>
      <c r="I163" s="274" t="s">
        <v>2657</v>
      </c>
      <c r="J163" s="113" t="s">
        <v>3679</v>
      </c>
      <c r="K163" s="266">
        <v>24.67</v>
      </c>
      <c r="L163" s="266" t="s">
        <v>3640</v>
      </c>
      <c r="M163" s="275" t="s">
        <v>3108</v>
      </c>
      <c r="N163" s="113" t="s">
        <v>66</v>
      </c>
      <c r="O163" s="113"/>
      <c r="P163" s="113"/>
      <c r="Q163" s="113">
        <v>30729.59</v>
      </c>
      <c r="R163" s="113">
        <v>758099</v>
      </c>
      <c r="S163" s="280">
        <v>388099</v>
      </c>
      <c r="T163" s="281">
        <v>370000</v>
      </c>
      <c r="U163" s="280"/>
      <c r="V163" s="280"/>
      <c r="W163" s="280"/>
      <c r="X163" s="280"/>
      <c r="Y163" s="113"/>
      <c r="Z163" s="113"/>
      <c r="AA163" s="275"/>
      <c r="AB163" s="113"/>
      <c r="AC163" s="113"/>
      <c r="AD163" s="113"/>
      <c r="AE163" s="133"/>
      <c r="AG163" s="133" t="s">
        <v>3680</v>
      </c>
      <c r="AH163" s="133"/>
      <c r="AI163" s="132">
        <f t="shared" si="48"/>
        <v>388099</v>
      </c>
      <c r="AJ163" s="132">
        <f t="shared" si="49"/>
        <v>388099</v>
      </c>
      <c r="AK163" s="133">
        <f t="shared" si="50"/>
        <v>0</v>
      </c>
      <c r="AL163" s="132"/>
      <c r="AM163" s="133"/>
      <c r="AN163" s="246">
        <v>44841</v>
      </c>
      <c r="AO163" s="137"/>
      <c r="AP163" s="97"/>
      <c r="AQ163" s="97"/>
      <c r="AR163" s="97"/>
      <c r="AS163" s="97"/>
      <c r="AT163" s="97"/>
      <c r="AU163" s="97"/>
      <c r="AV163" s="97"/>
      <c r="AW163" s="97"/>
      <c r="AX163" s="97"/>
      <c r="AY163" s="97"/>
      <c r="AZ163" s="97"/>
      <c r="BA163" s="97"/>
      <c r="BB163" s="97"/>
      <c r="BC163" s="97"/>
      <c r="BD163" s="97"/>
      <c r="BE163" s="97"/>
    </row>
    <row r="164" s="115" customFormat="1" customHeight="1" spans="1:57">
      <c r="A164" s="115" t="s">
        <v>3681</v>
      </c>
      <c r="B164" s="111" t="s">
        <v>3682</v>
      </c>
      <c r="C164" s="554" t="s">
        <v>3683</v>
      </c>
      <c r="D164" s="121" t="s">
        <v>3684</v>
      </c>
      <c r="E164" s="266">
        <v>15515534536</v>
      </c>
      <c r="F164" s="267">
        <v>1</v>
      </c>
      <c r="G164" s="268">
        <v>1589</v>
      </c>
      <c r="H164" s="268">
        <v>18.13</v>
      </c>
      <c r="I164" s="274" t="s">
        <v>2657</v>
      </c>
      <c r="J164" s="113" t="s">
        <v>3685</v>
      </c>
      <c r="K164" s="266">
        <v>17.98</v>
      </c>
      <c r="L164" s="266" t="s">
        <v>3686</v>
      </c>
      <c r="M164" s="275">
        <v>43629</v>
      </c>
      <c r="N164" s="113" t="s">
        <v>56</v>
      </c>
      <c r="O164" s="113"/>
      <c r="P164" s="113"/>
      <c r="Q164" s="113">
        <v>47422.41</v>
      </c>
      <c r="R164" s="113">
        <v>852655</v>
      </c>
      <c r="S164" s="280">
        <v>852655</v>
      </c>
      <c r="T164" s="281">
        <v>0</v>
      </c>
      <c r="U164" s="280"/>
      <c r="V164" s="280"/>
      <c r="W164" s="280"/>
      <c r="X164" s="280"/>
      <c r="Y164" s="113"/>
      <c r="Z164" s="113"/>
      <c r="AA164" s="275"/>
      <c r="AB164" s="113"/>
      <c r="AC164" s="113"/>
      <c r="AD164" s="113"/>
      <c r="AE164" s="133"/>
      <c r="AG164" s="133"/>
      <c r="AH164" s="133"/>
      <c r="AI164" s="132">
        <f t="shared" si="48"/>
        <v>852655</v>
      </c>
      <c r="AJ164" s="132">
        <f t="shared" si="49"/>
        <v>852655</v>
      </c>
      <c r="AK164" s="133">
        <f t="shared" si="50"/>
        <v>0</v>
      </c>
      <c r="AL164" s="132"/>
      <c r="AM164" s="133"/>
      <c r="AN164" s="246">
        <v>44841</v>
      </c>
      <c r="AO164" s="137"/>
      <c r="AP164" s="97"/>
      <c r="AQ164" s="97"/>
      <c r="AR164" s="97"/>
      <c r="AS164" s="97"/>
      <c r="AT164" s="97"/>
      <c r="AU164" s="97"/>
      <c r="AV164" s="97"/>
      <c r="AW164" s="97"/>
      <c r="AX164" s="97"/>
      <c r="AY164" s="97"/>
      <c r="AZ164" s="97"/>
      <c r="BA164" s="97"/>
      <c r="BB164" s="97"/>
      <c r="BC164" s="97"/>
      <c r="BD164" s="97"/>
      <c r="BE164" s="97"/>
    </row>
    <row r="165" s="115" customFormat="1" customHeight="1" spans="1:57">
      <c r="A165" s="115" t="s">
        <v>3687</v>
      </c>
      <c r="B165" s="111" t="s">
        <v>3688</v>
      </c>
      <c r="C165" s="554" t="s">
        <v>3689</v>
      </c>
      <c r="D165" s="121" t="s">
        <v>3690</v>
      </c>
      <c r="E165" s="266">
        <v>15639906002</v>
      </c>
      <c r="F165" s="267">
        <v>2</v>
      </c>
      <c r="G165" s="268">
        <v>278</v>
      </c>
      <c r="H165" s="268">
        <v>22.05</v>
      </c>
      <c r="I165" s="274" t="s">
        <v>2665</v>
      </c>
      <c r="J165" s="113" t="s">
        <v>3691</v>
      </c>
      <c r="K165" s="266">
        <v>22.5</v>
      </c>
      <c r="L165" s="266" t="s">
        <v>2711</v>
      </c>
      <c r="M165" s="275" t="s">
        <v>2763</v>
      </c>
      <c r="N165" s="113" t="s">
        <v>66</v>
      </c>
      <c r="O165" s="113"/>
      <c r="P165" s="113"/>
      <c r="Q165" s="113">
        <v>30294.09</v>
      </c>
      <c r="R165" s="113">
        <v>667985</v>
      </c>
      <c r="S165" s="280">
        <v>347985</v>
      </c>
      <c r="T165" s="281"/>
      <c r="U165" s="280">
        <v>320000</v>
      </c>
      <c r="V165" s="280">
        <v>1433</v>
      </c>
      <c r="W165" s="280">
        <v>550</v>
      </c>
      <c r="X165" s="280"/>
      <c r="Y165" s="113" t="s">
        <v>2669</v>
      </c>
      <c r="Z165" s="113" t="s">
        <v>48</v>
      </c>
      <c r="AA165" s="275">
        <v>44023</v>
      </c>
      <c r="AB165" s="113"/>
      <c r="AC165" s="113">
        <v>1252.8</v>
      </c>
      <c r="AD165" s="113"/>
      <c r="AE165" s="133"/>
      <c r="AG165" s="133"/>
      <c r="AH165" s="133"/>
      <c r="AI165" s="132">
        <f t="shared" ref="AI165:AI170" si="51">S165+U165+V165+W165+X165+AC165+AD165+AE165</f>
        <v>671220.8</v>
      </c>
      <c r="AJ165" s="132">
        <f t="shared" ref="AJ165:AJ170" si="52">S165+U165+V165+W165+X165</f>
        <v>669968</v>
      </c>
      <c r="AK165" s="133">
        <f t="shared" ref="AK165:AK170" si="53">AI165-AJ165</f>
        <v>1252.80000000005</v>
      </c>
      <c r="AL165" s="132"/>
      <c r="AM165" s="133"/>
      <c r="AN165" s="246">
        <v>44841</v>
      </c>
      <c r="AO165" s="137"/>
      <c r="AP165" s="97"/>
      <c r="AQ165" s="97"/>
      <c r="AR165" s="97"/>
      <c r="AS165" s="97"/>
      <c r="AT165" s="97"/>
      <c r="AU165" s="97"/>
      <c r="AV165" s="97"/>
      <c r="AW165" s="97"/>
      <c r="AX165" s="97"/>
      <c r="AY165" s="97"/>
      <c r="AZ165" s="97"/>
      <c r="BA165" s="97"/>
      <c r="BB165" s="97"/>
      <c r="BC165" s="97"/>
      <c r="BD165" s="97"/>
      <c r="BE165" s="97"/>
    </row>
    <row r="166" s="115" customFormat="1" customHeight="1" spans="1:57">
      <c r="A166" s="115" t="s">
        <v>3692</v>
      </c>
      <c r="B166" s="111" t="s">
        <v>3693</v>
      </c>
      <c r="C166" s="554" t="s">
        <v>3694</v>
      </c>
      <c r="D166" s="121" t="s">
        <v>3695</v>
      </c>
      <c r="E166" s="266">
        <v>13663832669</v>
      </c>
      <c r="F166" s="267">
        <v>4</v>
      </c>
      <c r="G166" s="268">
        <v>4472</v>
      </c>
      <c r="H166" s="268">
        <v>24.09</v>
      </c>
      <c r="I166" s="274" t="s">
        <v>2657</v>
      </c>
      <c r="J166" s="113" t="s">
        <v>3696</v>
      </c>
      <c r="K166" s="266">
        <v>21.92</v>
      </c>
      <c r="L166" s="266" t="s">
        <v>2718</v>
      </c>
      <c r="M166" s="275" t="s">
        <v>3697</v>
      </c>
      <c r="N166" s="113" t="s">
        <v>56</v>
      </c>
      <c r="O166" s="113"/>
      <c r="P166" s="113"/>
      <c r="Q166" s="113">
        <v>26459.85</v>
      </c>
      <c r="R166" s="113">
        <v>580000</v>
      </c>
      <c r="S166" s="280">
        <v>580000</v>
      </c>
      <c r="T166" s="281">
        <v>0</v>
      </c>
      <c r="U166" s="280"/>
      <c r="V166" s="280"/>
      <c r="W166" s="280"/>
      <c r="X166" s="280"/>
      <c r="Y166" s="113"/>
      <c r="Z166" s="113"/>
      <c r="AA166" s="275"/>
      <c r="AB166" s="113"/>
      <c r="AC166" s="113"/>
      <c r="AD166" s="113"/>
      <c r="AE166" s="133"/>
      <c r="AG166" s="133"/>
      <c r="AH166" s="133"/>
      <c r="AI166" s="132">
        <f t="shared" si="51"/>
        <v>580000</v>
      </c>
      <c r="AJ166" s="132">
        <f t="shared" si="52"/>
        <v>580000</v>
      </c>
      <c r="AK166" s="133">
        <f t="shared" si="53"/>
        <v>0</v>
      </c>
      <c r="AL166" s="132"/>
      <c r="AM166" s="133"/>
      <c r="AN166" s="246">
        <v>44841</v>
      </c>
      <c r="AO166" s="137"/>
      <c r="AP166" s="97"/>
      <c r="AQ166" s="97"/>
      <c r="AR166" s="97"/>
      <c r="AS166" s="97"/>
      <c r="AT166" s="97"/>
      <c r="AU166" s="97"/>
      <c r="AV166" s="97"/>
      <c r="AW166" s="97"/>
      <c r="AX166" s="97"/>
      <c r="AY166" s="97"/>
      <c r="AZ166" s="97"/>
      <c r="BA166" s="97"/>
      <c r="BB166" s="97"/>
      <c r="BC166" s="97"/>
      <c r="BD166" s="97"/>
      <c r="BE166" s="97"/>
    </row>
    <row r="167" s="115" customFormat="1" customHeight="1" spans="1:57">
      <c r="A167" s="115" t="s">
        <v>3698</v>
      </c>
      <c r="B167" s="111" t="s">
        <v>3699</v>
      </c>
      <c r="C167" s="554" t="s">
        <v>3700</v>
      </c>
      <c r="D167" s="121" t="s">
        <v>3701</v>
      </c>
      <c r="E167" s="266">
        <v>13526597739</v>
      </c>
      <c r="F167" s="267">
        <v>1</v>
      </c>
      <c r="G167" s="268" t="s">
        <v>3702</v>
      </c>
      <c r="H167" s="268">
        <v>28.12</v>
      </c>
      <c r="I167" s="274" t="s">
        <v>2657</v>
      </c>
      <c r="J167" s="113" t="s">
        <v>3703</v>
      </c>
      <c r="K167" s="266">
        <v>28.85</v>
      </c>
      <c r="L167" s="266" t="s">
        <v>3338</v>
      </c>
      <c r="M167" s="275" t="s">
        <v>3606</v>
      </c>
      <c r="N167" s="113" t="s">
        <v>56</v>
      </c>
      <c r="O167" s="113"/>
      <c r="P167" s="113"/>
      <c r="Q167" s="113">
        <v>45407.28</v>
      </c>
      <c r="R167" s="113">
        <v>1276853</v>
      </c>
      <c r="S167" s="280">
        <v>1276853</v>
      </c>
      <c r="T167" s="281">
        <v>0</v>
      </c>
      <c r="U167" s="280"/>
      <c r="V167" s="280">
        <v>1827</v>
      </c>
      <c r="W167" s="280">
        <v>550</v>
      </c>
      <c r="X167" s="280">
        <v>30770</v>
      </c>
      <c r="Y167" s="113" t="s">
        <v>2669</v>
      </c>
      <c r="Z167" s="113" t="s">
        <v>48</v>
      </c>
      <c r="AA167" s="275">
        <v>44185</v>
      </c>
      <c r="AB167" s="113" t="s">
        <v>3704</v>
      </c>
      <c r="AC167" s="113"/>
      <c r="AD167" s="113"/>
      <c r="AE167" s="133"/>
      <c r="AG167" s="133"/>
      <c r="AH167" s="133"/>
      <c r="AI167" s="132">
        <f t="shared" si="51"/>
        <v>1310000</v>
      </c>
      <c r="AJ167" s="132">
        <f t="shared" si="52"/>
        <v>1310000</v>
      </c>
      <c r="AK167" s="133">
        <f t="shared" si="53"/>
        <v>0</v>
      </c>
      <c r="AL167" s="132"/>
      <c r="AM167" s="133"/>
      <c r="AN167" s="246">
        <v>44841</v>
      </c>
      <c r="AO167" s="137"/>
      <c r="AP167" s="97"/>
      <c r="AQ167" s="97"/>
      <c r="AR167" s="97"/>
      <c r="AS167" s="97"/>
      <c r="AT167" s="97"/>
      <c r="AU167" s="97"/>
      <c r="AV167" s="97"/>
      <c r="AW167" s="97"/>
      <c r="AX167" s="97"/>
      <c r="AY167" s="97"/>
      <c r="AZ167" s="97"/>
      <c r="BA167" s="97"/>
      <c r="BB167" s="97"/>
      <c r="BC167" s="97"/>
      <c r="BD167" s="97"/>
      <c r="BE167" s="97"/>
    </row>
    <row r="168" s="115" customFormat="1" customHeight="1" spans="1:57">
      <c r="A168" s="115" t="s">
        <v>3705</v>
      </c>
      <c r="B168" s="111" t="s">
        <v>3706</v>
      </c>
      <c r="C168" s="554" t="s">
        <v>3707</v>
      </c>
      <c r="D168" s="121" t="s">
        <v>3708</v>
      </c>
      <c r="E168" s="266">
        <v>13523565892</v>
      </c>
      <c r="F168" s="267">
        <v>1</v>
      </c>
      <c r="G168" s="268">
        <v>1688</v>
      </c>
      <c r="H168" s="268">
        <v>16.74</v>
      </c>
      <c r="I168" s="274" t="s">
        <v>2657</v>
      </c>
      <c r="J168" s="113" t="s">
        <v>3709</v>
      </c>
      <c r="K168" s="266">
        <v>17.86</v>
      </c>
      <c r="L168" s="266" t="s">
        <v>3710</v>
      </c>
      <c r="M168" s="275" t="s">
        <v>3376</v>
      </c>
      <c r="N168" s="113" t="s">
        <v>56</v>
      </c>
      <c r="O168" s="113"/>
      <c r="P168" s="113"/>
      <c r="Q168" s="113">
        <v>47970.16</v>
      </c>
      <c r="R168" s="113">
        <v>803020</v>
      </c>
      <c r="S168" s="280">
        <v>463020</v>
      </c>
      <c r="T168" s="281">
        <v>340000</v>
      </c>
      <c r="U168" s="280"/>
      <c r="V168" s="280">
        <v>1088</v>
      </c>
      <c r="W168" s="280">
        <v>550</v>
      </c>
      <c r="X168" s="280"/>
      <c r="Y168" s="113" t="s">
        <v>2669</v>
      </c>
      <c r="Z168" s="113"/>
      <c r="AA168" s="275"/>
      <c r="AB168" s="113"/>
      <c r="AC168" s="113"/>
      <c r="AD168" s="113"/>
      <c r="AE168" s="133"/>
      <c r="AG168" s="133"/>
      <c r="AH168" s="133"/>
      <c r="AI168" s="132">
        <f t="shared" si="51"/>
        <v>464658</v>
      </c>
      <c r="AJ168" s="132">
        <f t="shared" si="52"/>
        <v>464658</v>
      </c>
      <c r="AK168" s="133">
        <f t="shared" si="53"/>
        <v>0</v>
      </c>
      <c r="AL168" s="132"/>
      <c r="AM168" s="133"/>
      <c r="AN168" s="246">
        <v>44841</v>
      </c>
      <c r="AO168" s="137"/>
      <c r="AP168" s="97"/>
      <c r="AQ168" s="97"/>
      <c r="AR168" s="97"/>
      <c r="AS168" s="97"/>
      <c r="AT168" s="97"/>
      <c r="AU168" s="97"/>
      <c r="AV168" s="97"/>
      <c r="AW168" s="97"/>
      <c r="AX168" s="97"/>
      <c r="AY168" s="97"/>
      <c r="AZ168" s="97"/>
      <c r="BA168" s="97"/>
      <c r="BB168" s="97"/>
      <c r="BC168" s="97"/>
      <c r="BD168" s="97"/>
      <c r="BE168" s="97"/>
    </row>
    <row r="169" s="115" customFormat="1" customHeight="1" spans="1:57">
      <c r="A169" s="115" t="s">
        <v>3711</v>
      </c>
      <c r="B169" s="111" t="s">
        <v>3712</v>
      </c>
      <c r="C169" s="554" t="s">
        <v>3713</v>
      </c>
      <c r="D169" s="121" t="s">
        <v>3714</v>
      </c>
      <c r="E169" s="266">
        <v>13938766517</v>
      </c>
      <c r="F169" s="267">
        <v>1</v>
      </c>
      <c r="G169" s="268">
        <v>1720</v>
      </c>
      <c r="H169" s="268">
        <v>17.38</v>
      </c>
      <c r="I169" s="274" t="s">
        <v>2657</v>
      </c>
      <c r="J169" s="113" t="s">
        <v>3715</v>
      </c>
      <c r="K169" s="266">
        <v>16.13</v>
      </c>
      <c r="L169" s="266" t="s">
        <v>2718</v>
      </c>
      <c r="M169" s="275" t="s">
        <v>3697</v>
      </c>
      <c r="N169" s="113" t="s">
        <v>66</v>
      </c>
      <c r="O169" s="113"/>
      <c r="P169" s="113"/>
      <c r="Q169" s="113">
        <v>47737.14</v>
      </c>
      <c r="R169" s="113">
        <v>770000</v>
      </c>
      <c r="S169" s="280">
        <v>390000</v>
      </c>
      <c r="T169" s="281">
        <v>380000</v>
      </c>
      <c r="U169" s="280"/>
      <c r="V169" s="280"/>
      <c r="W169" s="280"/>
      <c r="X169" s="280"/>
      <c r="Y169" s="113" t="s">
        <v>2669</v>
      </c>
      <c r="Z169" s="113"/>
      <c r="AA169" s="275"/>
      <c r="AB169" s="113"/>
      <c r="AC169" s="113"/>
      <c r="AD169" s="113"/>
      <c r="AE169" s="133"/>
      <c r="AG169" s="133"/>
      <c r="AH169" s="133"/>
      <c r="AI169" s="132">
        <f t="shared" si="51"/>
        <v>390000</v>
      </c>
      <c r="AJ169" s="132">
        <f t="shared" si="52"/>
        <v>390000</v>
      </c>
      <c r="AK169" s="133">
        <f t="shared" si="53"/>
        <v>0</v>
      </c>
      <c r="AL169" s="132"/>
      <c r="AM169" s="133"/>
      <c r="AN169" s="246">
        <v>44841</v>
      </c>
      <c r="AO169" s="137"/>
      <c r="AP169" s="97"/>
      <c r="AQ169" s="97"/>
      <c r="AR169" s="97"/>
      <c r="AS169" s="97"/>
      <c r="AT169" s="97"/>
      <c r="AU169" s="97"/>
      <c r="AV169" s="97"/>
      <c r="AW169" s="97"/>
      <c r="AX169" s="97"/>
      <c r="AY169" s="97"/>
      <c r="AZ169" s="97"/>
      <c r="BA169" s="97"/>
      <c r="BB169" s="97"/>
      <c r="BC169" s="97"/>
      <c r="BD169" s="97"/>
      <c r="BE169" s="97"/>
    </row>
    <row r="170" s="115" customFormat="1" customHeight="1" spans="1:57">
      <c r="A170" s="115" t="s">
        <v>3716</v>
      </c>
      <c r="B170" s="111" t="s">
        <v>3717</v>
      </c>
      <c r="C170" s="111" t="s">
        <v>3718</v>
      </c>
      <c r="D170" s="121" t="s">
        <v>3719</v>
      </c>
      <c r="E170" s="266" t="s">
        <v>3720</v>
      </c>
      <c r="F170" s="267">
        <v>4</v>
      </c>
      <c r="G170" s="268">
        <v>4461</v>
      </c>
      <c r="H170" s="268">
        <v>15.2</v>
      </c>
      <c r="I170" s="274" t="s">
        <v>2657</v>
      </c>
      <c r="J170" s="113" t="s">
        <v>3721</v>
      </c>
      <c r="K170" s="266">
        <v>13.09</v>
      </c>
      <c r="L170" s="266" t="s">
        <v>2718</v>
      </c>
      <c r="M170" s="275" t="s">
        <v>3697</v>
      </c>
      <c r="N170" s="113" t="s">
        <v>66</v>
      </c>
      <c r="O170" s="113"/>
      <c r="P170" s="113"/>
      <c r="Q170" s="113">
        <v>27501.91</v>
      </c>
      <c r="R170" s="113">
        <v>360000</v>
      </c>
      <c r="S170" s="280">
        <v>180000</v>
      </c>
      <c r="T170" s="281">
        <v>180000</v>
      </c>
      <c r="U170" s="280"/>
      <c r="V170" s="280"/>
      <c r="W170" s="280"/>
      <c r="X170" s="280"/>
      <c r="Y170" s="113" t="s">
        <v>2669</v>
      </c>
      <c r="Z170" s="113"/>
      <c r="AA170" s="275"/>
      <c r="AB170" s="113"/>
      <c r="AC170" s="113"/>
      <c r="AD170" s="113"/>
      <c r="AE170" s="133"/>
      <c r="AF170" s="115" t="s">
        <v>123</v>
      </c>
      <c r="AG170" s="133"/>
      <c r="AH170" s="133"/>
      <c r="AI170" s="132">
        <f t="shared" si="51"/>
        <v>180000</v>
      </c>
      <c r="AJ170" s="132">
        <f t="shared" si="52"/>
        <v>180000</v>
      </c>
      <c r="AK170" s="133">
        <f t="shared" si="53"/>
        <v>0</v>
      </c>
      <c r="AL170" s="132"/>
      <c r="AM170" s="133"/>
      <c r="AN170" s="246">
        <v>44841</v>
      </c>
      <c r="AO170" s="137"/>
      <c r="AP170" s="97"/>
      <c r="AQ170" s="97"/>
      <c r="AR170" s="97"/>
      <c r="AS170" s="97"/>
      <c r="AT170" s="97"/>
      <c r="AU170" s="97"/>
      <c r="AV170" s="97"/>
      <c r="AW170" s="97"/>
      <c r="AX170" s="97"/>
      <c r="AY170" s="97"/>
      <c r="AZ170" s="97"/>
      <c r="BA170" s="97"/>
      <c r="BB170" s="97"/>
      <c r="BC170" s="97"/>
      <c r="BD170" s="97"/>
      <c r="BE170" s="97"/>
    </row>
    <row r="171" s="115" customFormat="1" customHeight="1" spans="1:57">
      <c r="A171" s="115" t="s">
        <v>3722</v>
      </c>
      <c r="B171" s="111" t="s">
        <v>3723</v>
      </c>
      <c r="C171" s="554" t="s">
        <v>3724</v>
      </c>
      <c r="D171" s="121" t="s">
        <v>3725</v>
      </c>
      <c r="E171" s="266">
        <v>13266778872</v>
      </c>
      <c r="F171" s="267">
        <v>1</v>
      </c>
      <c r="G171" s="268">
        <v>1333</v>
      </c>
      <c r="H171" s="268">
        <v>13.93</v>
      </c>
      <c r="I171" s="274" t="s">
        <v>2657</v>
      </c>
      <c r="J171" s="113" t="s">
        <v>3726</v>
      </c>
      <c r="K171" s="266">
        <v>13.61</v>
      </c>
      <c r="L171" s="266" t="s">
        <v>3697</v>
      </c>
      <c r="M171" s="275" t="s">
        <v>3727</v>
      </c>
      <c r="N171" s="113" t="s">
        <v>66</v>
      </c>
      <c r="O171" s="113"/>
      <c r="P171" s="113"/>
      <c r="Q171" s="113">
        <v>49228.51</v>
      </c>
      <c r="R171" s="113">
        <v>670000</v>
      </c>
      <c r="S171" s="280">
        <v>340000</v>
      </c>
      <c r="T171" s="281">
        <v>330000</v>
      </c>
      <c r="U171" s="280"/>
      <c r="V171" s="280"/>
      <c r="W171" s="280"/>
      <c r="X171" s="280"/>
      <c r="Y171" s="113"/>
      <c r="Z171" s="113"/>
      <c r="AA171" s="275"/>
      <c r="AB171" s="113"/>
      <c r="AC171" s="113"/>
      <c r="AD171" s="113"/>
      <c r="AE171" s="133"/>
      <c r="AF171" s="115" t="s">
        <v>123</v>
      </c>
      <c r="AG171" s="133"/>
      <c r="AH171" s="133"/>
      <c r="AI171" s="132">
        <f t="shared" ref="AI171:AI178" si="54">S171+U171+V171+W171+X171+AC171+AD171+AE171</f>
        <v>340000</v>
      </c>
      <c r="AJ171" s="132">
        <f t="shared" ref="AJ171:AJ178" si="55">S171+U171+V171+W171+X171</f>
        <v>340000</v>
      </c>
      <c r="AK171" s="133">
        <f t="shared" ref="AK171:AK178" si="56">AI171-AJ171</f>
        <v>0</v>
      </c>
      <c r="AL171" s="132"/>
      <c r="AM171" s="133"/>
      <c r="AN171" s="246">
        <v>44841</v>
      </c>
      <c r="AO171" s="137"/>
      <c r="AP171" s="97"/>
      <c r="AQ171" s="97"/>
      <c r="AR171" s="97"/>
      <c r="AS171" s="97"/>
      <c r="AT171" s="97"/>
      <c r="AU171" s="97"/>
      <c r="AV171" s="97"/>
      <c r="AW171" s="97"/>
      <c r="AX171" s="97"/>
      <c r="AY171" s="97"/>
      <c r="AZ171" s="97"/>
      <c r="BA171" s="97"/>
      <c r="BB171" s="97"/>
      <c r="BC171" s="97"/>
      <c r="BD171" s="97"/>
      <c r="BE171" s="97"/>
    </row>
    <row r="172" s="115" customFormat="1" customHeight="1" spans="1:57">
      <c r="A172" s="115" t="s">
        <v>3728</v>
      </c>
      <c r="B172" s="111" t="s">
        <v>3729</v>
      </c>
      <c r="C172" s="111" t="s">
        <v>3730</v>
      </c>
      <c r="D172" s="121" t="s">
        <v>3731</v>
      </c>
      <c r="E172" s="266">
        <v>13592599163</v>
      </c>
      <c r="F172" s="267">
        <v>3</v>
      </c>
      <c r="G172" s="268">
        <v>397</v>
      </c>
      <c r="H172" s="268">
        <v>26.79</v>
      </c>
      <c r="I172" s="274" t="s">
        <v>2657</v>
      </c>
      <c r="J172" s="113" t="s">
        <v>3732</v>
      </c>
      <c r="K172" s="266">
        <v>19.9</v>
      </c>
      <c r="L172" s="266" t="s">
        <v>2659</v>
      </c>
      <c r="M172" s="275" t="s">
        <v>3733</v>
      </c>
      <c r="N172" s="113" t="s">
        <v>66</v>
      </c>
      <c r="O172" s="113"/>
      <c r="P172" s="113"/>
      <c r="Q172" s="113">
        <v>31458.84</v>
      </c>
      <c r="R172" s="113">
        <v>626031</v>
      </c>
      <c r="S172" s="280">
        <v>316031</v>
      </c>
      <c r="T172" s="281">
        <v>310000</v>
      </c>
      <c r="U172" s="280"/>
      <c r="V172" s="280"/>
      <c r="W172" s="280"/>
      <c r="X172" s="280"/>
      <c r="Y172" s="113"/>
      <c r="Z172" s="113"/>
      <c r="AA172" s="275"/>
      <c r="AB172" s="113"/>
      <c r="AC172" s="113"/>
      <c r="AD172" s="113"/>
      <c r="AE172" s="133"/>
      <c r="AF172" s="115" t="s">
        <v>123</v>
      </c>
      <c r="AG172" s="133"/>
      <c r="AH172" s="133"/>
      <c r="AI172" s="132">
        <f t="shared" si="54"/>
        <v>316031</v>
      </c>
      <c r="AJ172" s="132">
        <f t="shared" si="55"/>
        <v>316031</v>
      </c>
      <c r="AK172" s="133">
        <f t="shared" si="56"/>
        <v>0</v>
      </c>
      <c r="AL172" s="132"/>
      <c r="AM172" s="133"/>
      <c r="AN172" s="246">
        <v>44841</v>
      </c>
      <c r="AO172" s="137"/>
      <c r="AP172" s="97"/>
      <c r="AQ172" s="97"/>
      <c r="AR172" s="97"/>
      <c r="AS172" s="97"/>
      <c r="AT172" s="97"/>
      <c r="AU172" s="97"/>
      <c r="AV172" s="97"/>
      <c r="AW172" s="97"/>
      <c r="AX172" s="97"/>
      <c r="AY172" s="97"/>
      <c r="AZ172" s="97"/>
      <c r="BA172" s="97"/>
      <c r="BB172" s="97"/>
      <c r="BC172" s="97"/>
      <c r="BD172" s="97"/>
      <c r="BE172" s="97"/>
    </row>
    <row r="173" s="115" customFormat="1" customHeight="1" spans="1:57">
      <c r="A173" s="115" t="s">
        <v>3734</v>
      </c>
      <c r="B173" s="111" t="s">
        <v>3735</v>
      </c>
      <c r="C173" s="554" t="s">
        <v>3736</v>
      </c>
      <c r="D173" s="121" t="s">
        <v>3737</v>
      </c>
      <c r="E173" s="266">
        <v>15670620885</v>
      </c>
      <c r="F173" s="267">
        <v>1</v>
      </c>
      <c r="G173" s="268">
        <v>170</v>
      </c>
      <c r="H173" s="268">
        <v>14.78</v>
      </c>
      <c r="I173" s="274" t="s">
        <v>2657</v>
      </c>
      <c r="J173" s="113" t="s">
        <v>3738</v>
      </c>
      <c r="K173" s="266">
        <v>14.13</v>
      </c>
      <c r="L173" s="266" t="s">
        <v>3739</v>
      </c>
      <c r="M173" s="275" t="s">
        <v>3740</v>
      </c>
      <c r="N173" s="113" t="s">
        <v>56</v>
      </c>
      <c r="O173" s="113"/>
      <c r="P173" s="113"/>
      <c r="Q173" s="113">
        <v>46751.8</v>
      </c>
      <c r="R173" s="113">
        <v>660603</v>
      </c>
      <c r="S173" s="280">
        <v>660603</v>
      </c>
      <c r="T173" s="281">
        <v>0</v>
      </c>
      <c r="U173" s="280"/>
      <c r="V173" s="280"/>
      <c r="W173" s="280"/>
      <c r="X173" s="280"/>
      <c r="Y173" s="113"/>
      <c r="Z173" s="113"/>
      <c r="AA173" s="275"/>
      <c r="AB173" s="113"/>
      <c r="AC173" s="113"/>
      <c r="AD173" s="113"/>
      <c r="AE173" s="133"/>
      <c r="AF173" s="115" t="s">
        <v>123</v>
      </c>
      <c r="AG173" s="133"/>
      <c r="AH173" s="133"/>
      <c r="AI173" s="132">
        <f t="shared" si="54"/>
        <v>660603</v>
      </c>
      <c r="AJ173" s="132">
        <f t="shared" si="55"/>
        <v>660603</v>
      </c>
      <c r="AK173" s="133">
        <f t="shared" si="56"/>
        <v>0</v>
      </c>
      <c r="AL173" s="132"/>
      <c r="AM173" s="133"/>
      <c r="AN173" s="246">
        <v>44841</v>
      </c>
      <c r="AO173" s="137"/>
      <c r="AP173" s="97"/>
      <c r="AQ173" s="97"/>
      <c r="AR173" s="97"/>
      <c r="AS173" s="97"/>
      <c r="AT173" s="97"/>
      <c r="AU173" s="97"/>
      <c r="AV173" s="97"/>
      <c r="AW173" s="97"/>
      <c r="AX173" s="97"/>
      <c r="AY173" s="97"/>
      <c r="AZ173" s="97"/>
      <c r="BA173" s="97"/>
      <c r="BB173" s="97"/>
      <c r="BC173" s="97"/>
      <c r="BD173" s="97"/>
      <c r="BE173" s="97"/>
    </row>
    <row r="174" s="115" customFormat="1" customHeight="1" spans="1:57">
      <c r="A174" s="115" t="s">
        <v>3741</v>
      </c>
      <c r="B174" s="111" t="s">
        <v>3742</v>
      </c>
      <c r="C174" s="554" t="s">
        <v>3743</v>
      </c>
      <c r="D174" s="121" t="s">
        <v>3744</v>
      </c>
      <c r="E174" s="266">
        <v>19937672267</v>
      </c>
      <c r="F174" s="267">
        <v>4</v>
      </c>
      <c r="G174" s="268">
        <v>4407</v>
      </c>
      <c r="H174" s="268">
        <v>11.18</v>
      </c>
      <c r="I174" s="274" t="s">
        <v>2657</v>
      </c>
      <c r="J174" s="113" t="s">
        <v>3745</v>
      </c>
      <c r="K174" s="266">
        <v>10.16</v>
      </c>
      <c r="L174" s="266" t="s">
        <v>2891</v>
      </c>
      <c r="M174" s="275" t="s">
        <v>3258</v>
      </c>
      <c r="N174" s="113" t="s">
        <v>56</v>
      </c>
      <c r="O174" s="113"/>
      <c r="P174" s="113"/>
      <c r="Q174" s="113">
        <v>26694.29</v>
      </c>
      <c r="R174" s="113">
        <v>271214</v>
      </c>
      <c r="S174" s="280">
        <v>271214</v>
      </c>
      <c r="T174" s="281">
        <v>0</v>
      </c>
      <c r="U174" s="280"/>
      <c r="V174" s="280"/>
      <c r="W174" s="280"/>
      <c r="X174" s="280"/>
      <c r="Y174" s="113"/>
      <c r="Z174" s="113"/>
      <c r="AA174" s="275"/>
      <c r="AB174" s="113" t="s">
        <v>3746</v>
      </c>
      <c r="AC174" s="113"/>
      <c r="AD174" s="113"/>
      <c r="AE174" s="133"/>
      <c r="AG174" s="133" t="s">
        <v>3747</v>
      </c>
      <c r="AH174" s="133"/>
      <c r="AI174" s="132">
        <f t="shared" si="54"/>
        <v>271214</v>
      </c>
      <c r="AJ174" s="132">
        <f t="shared" si="55"/>
        <v>271214</v>
      </c>
      <c r="AK174" s="133">
        <f t="shared" si="56"/>
        <v>0</v>
      </c>
      <c r="AL174" s="132"/>
      <c r="AM174" s="133"/>
      <c r="AN174" s="246">
        <v>44841</v>
      </c>
      <c r="AO174" s="137"/>
      <c r="AP174" s="97"/>
      <c r="AQ174" s="97"/>
      <c r="AR174" s="97"/>
      <c r="AS174" s="97"/>
      <c r="AT174" s="97"/>
      <c r="AU174" s="97"/>
      <c r="AV174" s="97"/>
      <c r="AW174" s="97"/>
      <c r="AX174" s="97"/>
      <c r="AY174" s="97"/>
      <c r="AZ174" s="97"/>
      <c r="BA174" s="97"/>
      <c r="BB174" s="97"/>
      <c r="BC174" s="97"/>
      <c r="BD174" s="97"/>
      <c r="BE174" s="97"/>
    </row>
    <row r="175" s="115" customFormat="1" customHeight="1" spans="1:57">
      <c r="A175" s="115" t="s">
        <v>3748</v>
      </c>
      <c r="B175" s="111" t="s">
        <v>3749</v>
      </c>
      <c r="C175" s="554" t="s">
        <v>3750</v>
      </c>
      <c r="D175" s="121" t="s">
        <v>3751</v>
      </c>
      <c r="E175" s="266" t="s">
        <v>3752</v>
      </c>
      <c r="F175" s="267">
        <v>4</v>
      </c>
      <c r="G175" s="268">
        <v>492</v>
      </c>
      <c r="H175" s="268">
        <v>27.29</v>
      </c>
      <c r="I175" s="274" t="s">
        <v>2665</v>
      </c>
      <c r="J175" s="113" t="s">
        <v>3753</v>
      </c>
      <c r="K175" s="266">
        <v>22.53</v>
      </c>
      <c r="L175" s="266" t="s">
        <v>2711</v>
      </c>
      <c r="M175" s="275">
        <v>43419</v>
      </c>
      <c r="N175" s="113" t="s">
        <v>66</v>
      </c>
      <c r="O175" s="113"/>
      <c r="P175" s="113"/>
      <c r="Q175" s="113">
        <v>20808.83</v>
      </c>
      <c r="R175" s="113">
        <v>468823</v>
      </c>
      <c r="S175" s="280">
        <v>238823</v>
      </c>
      <c r="T175" s="281">
        <v>230000</v>
      </c>
      <c r="U175" s="280"/>
      <c r="V175" s="280"/>
      <c r="W175" s="280"/>
      <c r="X175" s="280"/>
      <c r="Y175" s="113"/>
      <c r="Z175" s="113"/>
      <c r="AA175" s="275"/>
      <c r="AB175" s="113"/>
      <c r="AC175" s="113"/>
      <c r="AD175" s="113"/>
      <c r="AE175" s="133"/>
      <c r="AF175" s="115" t="s">
        <v>123</v>
      </c>
      <c r="AG175" s="133"/>
      <c r="AH175" s="133"/>
      <c r="AI175" s="132">
        <f t="shared" si="54"/>
        <v>238823</v>
      </c>
      <c r="AJ175" s="132">
        <f t="shared" si="55"/>
        <v>238823</v>
      </c>
      <c r="AK175" s="133">
        <f t="shared" si="56"/>
        <v>0</v>
      </c>
      <c r="AL175" s="132"/>
      <c r="AM175" s="133"/>
      <c r="AN175" s="246">
        <v>44841</v>
      </c>
      <c r="AO175" s="137"/>
      <c r="AP175" s="97"/>
      <c r="AQ175" s="97"/>
      <c r="AR175" s="97"/>
      <c r="AS175" s="97"/>
      <c r="AT175" s="97"/>
      <c r="AU175" s="97"/>
      <c r="AV175" s="97"/>
      <c r="AW175" s="97"/>
      <c r="AX175" s="97"/>
      <c r="AY175" s="97"/>
      <c r="AZ175" s="97"/>
      <c r="BA175" s="97"/>
      <c r="BB175" s="97"/>
      <c r="BC175" s="97"/>
      <c r="BD175" s="97"/>
      <c r="BE175" s="97"/>
    </row>
    <row r="176" s="115" customFormat="1" customHeight="1" spans="1:57">
      <c r="A176" s="115" t="s">
        <v>3754</v>
      </c>
      <c r="B176" s="111" t="s">
        <v>3755</v>
      </c>
      <c r="C176" s="111" t="s">
        <v>3756</v>
      </c>
      <c r="D176" s="121" t="s">
        <v>3757</v>
      </c>
      <c r="E176" s="266">
        <v>15837169277</v>
      </c>
      <c r="F176" s="267">
        <v>3</v>
      </c>
      <c r="G176" s="268">
        <v>3686</v>
      </c>
      <c r="H176" s="268">
        <v>17</v>
      </c>
      <c r="I176" s="274" t="s">
        <v>2657</v>
      </c>
      <c r="J176" s="113" t="s">
        <v>3758</v>
      </c>
      <c r="K176" s="266">
        <v>16.16</v>
      </c>
      <c r="L176" s="266" t="s">
        <v>2891</v>
      </c>
      <c r="M176" s="275" t="s">
        <v>2854</v>
      </c>
      <c r="N176" s="113" t="s">
        <v>66</v>
      </c>
      <c r="O176" s="113"/>
      <c r="P176" s="113"/>
      <c r="Q176" s="113">
        <v>32460.95</v>
      </c>
      <c r="R176" s="113">
        <v>524569</v>
      </c>
      <c r="S176" s="280">
        <v>264569</v>
      </c>
      <c r="T176" s="281">
        <v>260000</v>
      </c>
      <c r="U176" s="280"/>
      <c r="V176" s="280"/>
      <c r="W176" s="280"/>
      <c r="X176" s="280"/>
      <c r="Y176" s="113"/>
      <c r="Z176" s="113"/>
      <c r="AA176" s="275"/>
      <c r="AB176" s="113" t="s">
        <v>3759</v>
      </c>
      <c r="AC176" s="113"/>
      <c r="AD176" s="113"/>
      <c r="AE176" s="133"/>
      <c r="AG176" s="133"/>
      <c r="AH176" s="133"/>
      <c r="AI176" s="132">
        <f t="shared" si="54"/>
        <v>264569</v>
      </c>
      <c r="AJ176" s="132">
        <f t="shared" si="55"/>
        <v>264569</v>
      </c>
      <c r="AK176" s="133">
        <f t="shared" si="56"/>
        <v>0</v>
      </c>
      <c r="AL176" s="132"/>
      <c r="AM176" s="133"/>
      <c r="AN176" s="246">
        <v>44841</v>
      </c>
      <c r="AO176" s="137"/>
      <c r="AP176" s="97"/>
      <c r="AQ176" s="97"/>
      <c r="AR176" s="97"/>
      <c r="AS176" s="97"/>
      <c r="AT176" s="97"/>
      <c r="AU176" s="97"/>
      <c r="AV176" s="97"/>
      <c r="AW176" s="97"/>
      <c r="AX176" s="97"/>
      <c r="AY176" s="97"/>
      <c r="AZ176" s="97"/>
      <c r="BA176" s="97"/>
      <c r="BB176" s="97"/>
      <c r="BC176" s="97"/>
      <c r="BD176" s="97"/>
      <c r="BE176" s="97"/>
    </row>
    <row r="177" s="115" customFormat="1" customHeight="1" spans="1:57">
      <c r="A177" s="115" t="s">
        <v>3760</v>
      </c>
      <c r="B177" s="111" t="s">
        <v>3761</v>
      </c>
      <c r="C177" s="554" t="s">
        <v>3762</v>
      </c>
      <c r="D177" s="121" t="s">
        <v>3763</v>
      </c>
      <c r="E177" s="266" t="s">
        <v>3764</v>
      </c>
      <c r="F177" s="267">
        <v>4</v>
      </c>
      <c r="G177" s="268">
        <v>4497</v>
      </c>
      <c r="H177" s="268">
        <v>17</v>
      </c>
      <c r="I177" s="274" t="s">
        <v>2665</v>
      </c>
      <c r="J177" s="113" t="s">
        <v>3765</v>
      </c>
      <c r="K177" s="266">
        <v>18.4</v>
      </c>
      <c r="L177" s="266" t="s">
        <v>2711</v>
      </c>
      <c r="M177" s="275" t="s">
        <v>3766</v>
      </c>
      <c r="N177" s="113" t="s">
        <v>56</v>
      </c>
      <c r="O177" s="113"/>
      <c r="P177" s="113"/>
      <c r="Q177" s="113">
        <v>19556.4130434783</v>
      </c>
      <c r="R177" s="113">
        <v>332459</v>
      </c>
      <c r="S177" s="280">
        <v>332459</v>
      </c>
      <c r="T177" s="281">
        <v>0</v>
      </c>
      <c r="U177" s="280"/>
      <c r="V177" s="280">
        <v>1105</v>
      </c>
      <c r="W177" s="280">
        <v>550</v>
      </c>
      <c r="X177" s="280">
        <v>25724</v>
      </c>
      <c r="Y177" s="113" t="s">
        <v>2669</v>
      </c>
      <c r="Z177" s="113"/>
      <c r="AA177" s="275"/>
      <c r="AB177" s="113"/>
      <c r="AC177" s="113"/>
      <c r="AD177" s="113"/>
      <c r="AE177" s="133"/>
      <c r="AG177" s="133"/>
      <c r="AH177" s="133"/>
      <c r="AI177" s="132">
        <f t="shared" si="54"/>
        <v>359838</v>
      </c>
      <c r="AJ177" s="132">
        <f t="shared" si="55"/>
        <v>359838</v>
      </c>
      <c r="AK177" s="133">
        <f t="shared" si="56"/>
        <v>0</v>
      </c>
      <c r="AL177" s="132"/>
      <c r="AM177" s="133"/>
      <c r="AN177" s="246">
        <v>44841</v>
      </c>
      <c r="AO177" s="137"/>
      <c r="AP177" s="97"/>
      <c r="AQ177" s="97"/>
      <c r="AR177" s="97"/>
      <c r="AS177" s="97"/>
      <c r="AT177" s="97"/>
      <c r="AU177" s="97"/>
      <c r="AV177" s="97"/>
      <c r="AW177" s="97"/>
      <c r="AX177" s="97"/>
      <c r="AY177" s="97"/>
      <c r="AZ177" s="97"/>
      <c r="BA177" s="97"/>
      <c r="BB177" s="97"/>
      <c r="BC177" s="97"/>
      <c r="BD177" s="97"/>
      <c r="BE177" s="97"/>
    </row>
    <row r="178" s="115" customFormat="1" customHeight="1" spans="1:57">
      <c r="A178" s="115" t="s">
        <v>3767</v>
      </c>
      <c r="B178" s="111" t="s">
        <v>3768</v>
      </c>
      <c r="C178" s="554" t="s">
        <v>3769</v>
      </c>
      <c r="D178" s="121" t="s">
        <v>3770</v>
      </c>
      <c r="E178" s="266">
        <v>13683829801</v>
      </c>
      <c r="F178" s="267">
        <v>2</v>
      </c>
      <c r="G178" s="268">
        <v>277</v>
      </c>
      <c r="H178" s="268">
        <v>19.37</v>
      </c>
      <c r="I178" s="274" t="s">
        <v>2665</v>
      </c>
      <c r="J178" s="113" t="s">
        <v>3771</v>
      </c>
      <c r="K178" s="266">
        <v>20.83</v>
      </c>
      <c r="L178" s="266" t="s">
        <v>2711</v>
      </c>
      <c r="M178" s="275" t="s">
        <v>3772</v>
      </c>
      <c r="N178" s="113" t="s">
        <v>66</v>
      </c>
      <c r="O178" s="113"/>
      <c r="P178" s="113"/>
      <c r="Q178" s="113">
        <v>29856.1209793567</v>
      </c>
      <c r="R178" s="113">
        <v>578313</v>
      </c>
      <c r="S178" s="280">
        <v>328313</v>
      </c>
      <c r="T178" s="281">
        <v>250000</v>
      </c>
      <c r="U178" s="280"/>
      <c r="V178" s="280">
        <v>1259</v>
      </c>
      <c r="W178" s="280">
        <v>550</v>
      </c>
      <c r="X178" s="280"/>
      <c r="Y178" s="113"/>
      <c r="Z178" s="113"/>
      <c r="AA178" s="275"/>
      <c r="AB178" s="113"/>
      <c r="AC178" s="113"/>
      <c r="AD178" s="113"/>
      <c r="AE178" s="133"/>
      <c r="AF178" s="115" t="s">
        <v>123</v>
      </c>
      <c r="AG178" s="133"/>
      <c r="AH178" s="133"/>
      <c r="AI178" s="132">
        <f t="shared" si="54"/>
        <v>330122</v>
      </c>
      <c r="AJ178" s="132">
        <f t="shared" si="55"/>
        <v>330122</v>
      </c>
      <c r="AK178" s="133">
        <f t="shared" si="56"/>
        <v>0</v>
      </c>
      <c r="AL178" s="132"/>
      <c r="AM178" s="133"/>
      <c r="AN178" s="246">
        <v>44841</v>
      </c>
      <c r="AO178" s="137"/>
      <c r="AP178" s="97"/>
      <c r="AQ178" s="97"/>
      <c r="AR178" s="97"/>
      <c r="AS178" s="97"/>
      <c r="AT178" s="97"/>
      <c r="AU178" s="97"/>
      <c r="AV178" s="97"/>
      <c r="AW178" s="97"/>
      <c r="AX178" s="97"/>
      <c r="AY178" s="97"/>
      <c r="AZ178" s="97"/>
      <c r="BA178" s="97"/>
      <c r="BB178" s="97"/>
      <c r="BC178" s="97"/>
      <c r="BD178" s="97"/>
      <c r="BE178" s="97"/>
    </row>
    <row r="179" s="115" customFormat="1" customHeight="1" spans="1:57">
      <c r="A179" s="115" t="s">
        <v>3773</v>
      </c>
      <c r="B179" s="111" t="s">
        <v>2100</v>
      </c>
      <c r="C179" s="111" t="s">
        <v>3774</v>
      </c>
      <c r="D179" s="121" t="s">
        <v>3775</v>
      </c>
      <c r="E179" s="266">
        <v>15838118931</v>
      </c>
      <c r="F179" s="267">
        <v>3</v>
      </c>
      <c r="G179" s="268">
        <v>3706</v>
      </c>
      <c r="H179" s="268">
        <v>9.99</v>
      </c>
      <c r="I179" s="274" t="s">
        <v>2657</v>
      </c>
      <c r="J179" s="113" t="s">
        <v>3776</v>
      </c>
      <c r="K179" s="266">
        <v>11.15</v>
      </c>
      <c r="L179" s="266" t="s">
        <v>2746</v>
      </c>
      <c r="M179" s="275" t="s">
        <v>2763</v>
      </c>
      <c r="N179" s="113" t="s">
        <v>66</v>
      </c>
      <c r="O179" s="113"/>
      <c r="P179" s="113"/>
      <c r="Q179" s="113">
        <v>32948.88</v>
      </c>
      <c r="R179" s="113">
        <v>329159</v>
      </c>
      <c r="S179" s="280">
        <v>189159</v>
      </c>
      <c r="T179" s="281"/>
      <c r="U179" s="280">
        <v>140000</v>
      </c>
      <c r="V179" s="280">
        <v>649</v>
      </c>
      <c r="W179" s="280">
        <v>550</v>
      </c>
      <c r="X179" s="280"/>
      <c r="Y179" s="113" t="s">
        <v>2669</v>
      </c>
      <c r="Z179" s="113" t="s">
        <v>48</v>
      </c>
      <c r="AA179" s="275">
        <v>44053</v>
      </c>
      <c r="AB179" s="113"/>
      <c r="AC179" s="113">
        <v>1234</v>
      </c>
      <c r="AD179" s="113"/>
      <c r="AE179" s="133"/>
      <c r="AG179" s="133"/>
      <c r="AH179" s="133"/>
      <c r="AI179" s="132">
        <f t="shared" ref="AI179:AI184" si="57">S179+U179+V179+W179+X179+AC179+AD179+AE179</f>
        <v>331592</v>
      </c>
      <c r="AJ179" s="132">
        <f t="shared" ref="AJ179:AJ184" si="58">S179+U179+V179+W179+X179</f>
        <v>330358</v>
      </c>
      <c r="AK179" s="133">
        <f t="shared" ref="AK179:AK184" si="59">AI179-AJ179</f>
        <v>1234</v>
      </c>
      <c r="AL179" s="132"/>
      <c r="AM179" s="133"/>
      <c r="AN179" s="246">
        <v>44841</v>
      </c>
      <c r="AO179" s="137"/>
      <c r="AP179" s="97"/>
      <c r="AQ179" s="97"/>
      <c r="AR179" s="97"/>
      <c r="AS179" s="97"/>
      <c r="AT179" s="97"/>
      <c r="AU179" s="97"/>
      <c r="AV179" s="97"/>
      <c r="AW179" s="97"/>
      <c r="AX179" s="97"/>
      <c r="AY179" s="97"/>
      <c r="AZ179" s="97"/>
      <c r="BA179" s="97"/>
      <c r="BB179" s="97"/>
      <c r="BC179" s="97"/>
      <c r="BD179" s="97"/>
      <c r="BE179" s="97"/>
    </row>
    <row r="180" s="115" customFormat="1" customHeight="1" spans="1:57">
      <c r="A180" s="115" t="s">
        <v>3777</v>
      </c>
      <c r="B180" s="111" t="s">
        <v>3778</v>
      </c>
      <c r="C180" s="554" t="s">
        <v>3779</v>
      </c>
      <c r="D180" s="121" t="s">
        <v>3780</v>
      </c>
      <c r="E180" s="266">
        <v>15037168980</v>
      </c>
      <c r="F180" s="267">
        <v>4</v>
      </c>
      <c r="G180" s="268">
        <v>4360</v>
      </c>
      <c r="H180" s="268">
        <v>21.09</v>
      </c>
      <c r="I180" s="274" t="s">
        <v>2657</v>
      </c>
      <c r="J180" s="113" t="s">
        <v>3781</v>
      </c>
      <c r="K180" s="266">
        <v>17.81</v>
      </c>
      <c r="L180" s="266" t="s">
        <v>2705</v>
      </c>
      <c r="M180" s="275" t="s">
        <v>2685</v>
      </c>
      <c r="N180" s="113" t="s">
        <v>66</v>
      </c>
      <c r="O180" s="113"/>
      <c r="P180" s="113"/>
      <c r="Q180" s="113">
        <v>24252.92</v>
      </c>
      <c r="R180" s="113">
        <v>511494</v>
      </c>
      <c r="S180" s="280">
        <v>261494</v>
      </c>
      <c r="T180" s="281">
        <v>250000</v>
      </c>
      <c r="U180" s="280"/>
      <c r="V180" s="280">
        <v>1370</v>
      </c>
      <c r="W180" s="280">
        <v>550</v>
      </c>
      <c r="X180" s="280"/>
      <c r="Y180" s="113" t="s">
        <v>2669</v>
      </c>
      <c r="Z180" s="113"/>
      <c r="AA180" s="275"/>
      <c r="AB180" s="113"/>
      <c r="AC180" s="113">
        <v>1245</v>
      </c>
      <c r="AD180" s="113"/>
      <c r="AE180" s="133"/>
      <c r="AG180" s="133"/>
      <c r="AH180" s="133"/>
      <c r="AI180" s="132">
        <f t="shared" si="57"/>
        <v>264659</v>
      </c>
      <c r="AJ180" s="132">
        <f t="shared" si="58"/>
        <v>263414</v>
      </c>
      <c r="AK180" s="133">
        <f t="shared" si="59"/>
        <v>1245</v>
      </c>
      <c r="AL180" s="132"/>
      <c r="AM180" s="133"/>
      <c r="AN180" s="246">
        <v>44841</v>
      </c>
      <c r="AO180" s="137"/>
      <c r="AP180" s="97"/>
      <c r="AQ180" s="97"/>
      <c r="AR180" s="97"/>
      <c r="AS180" s="97"/>
      <c r="AT180" s="97"/>
      <c r="AU180" s="97"/>
      <c r="AV180" s="97"/>
      <c r="AW180" s="97"/>
      <c r="AX180" s="97"/>
      <c r="AY180" s="97"/>
      <c r="AZ180" s="97"/>
      <c r="BA180" s="97"/>
      <c r="BB180" s="97"/>
      <c r="BC180" s="97"/>
      <c r="BD180" s="97"/>
      <c r="BE180" s="97"/>
    </row>
    <row r="181" s="115" customFormat="1" customHeight="1" spans="1:57">
      <c r="A181" s="115" t="s">
        <v>3782</v>
      </c>
      <c r="B181" s="111" t="s">
        <v>3783</v>
      </c>
      <c r="C181" s="554" t="s">
        <v>3784</v>
      </c>
      <c r="D181" s="121" t="s">
        <v>3785</v>
      </c>
      <c r="E181" s="266">
        <v>18937635570</v>
      </c>
      <c r="F181" s="267">
        <v>4</v>
      </c>
      <c r="G181" s="268">
        <v>4198</v>
      </c>
      <c r="H181" s="268">
        <v>10.04</v>
      </c>
      <c r="I181" s="274" t="s">
        <v>2657</v>
      </c>
      <c r="J181" s="113" t="s">
        <v>3786</v>
      </c>
      <c r="K181" s="266">
        <v>9.36</v>
      </c>
      <c r="L181" s="266" t="s">
        <v>2691</v>
      </c>
      <c r="M181" s="275" t="s">
        <v>3787</v>
      </c>
      <c r="N181" s="113" t="s">
        <v>56</v>
      </c>
      <c r="O181" s="113"/>
      <c r="P181" s="113"/>
      <c r="Q181" s="113">
        <v>27599.36</v>
      </c>
      <c r="R181" s="113">
        <v>277098</v>
      </c>
      <c r="S181" s="280">
        <v>277098</v>
      </c>
      <c r="T181" s="281">
        <v>0</v>
      </c>
      <c r="U181" s="280"/>
      <c r="V181" s="280">
        <v>652</v>
      </c>
      <c r="W181" s="280">
        <v>550</v>
      </c>
      <c r="X181" s="280"/>
      <c r="Y181" s="113" t="s">
        <v>2669</v>
      </c>
      <c r="Z181" s="113" t="s">
        <v>48</v>
      </c>
      <c r="AA181" s="275">
        <v>44054</v>
      </c>
      <c r="AB181" s="113"/>
      <c r="AC181" s="113"/>
      <c r="AD181" s="113"/>
      <c r="AE181" s="133"/>
      <c r="AG181" s="133"/>
      <c r="AH181" s="133"/>
      <c r="AI181" s="132">
        <f t="shared" si="57"/>
        <v>278300</v>
      </c>
      <c r="AJ181" s="132">
        <f t="shared" si="58"/>
        <v>278300</v>
      </c>
      <c r="AK181" s="133">
        <f t="shared" si="59"/>
        <v>0</v>
      </c>
      <c r="AL181" s="132"/>
      <c r="AM181" s="133"/>
      <c r="AN181" s="246">
        <v>44841</v>
      </c>
      <c r="AO181" s="137"/>
      <c r="AP181" s="97"/>
      <c r="AQ181" s="97"/>
      <c r="AR181" s="97"/>
      <c r="AS181" s="97"/>
      <c r="AT181" s="97"/>
      <c r="AU181" s="97"/>
      <c r="AV181" s="97"/>
      <c r="AW181" s="97"/>
      <c r="AX181" s="97"/>
      <c r="AY181" s="97"/>
      <c r="AZ181" s="97"/>
      <c r="BA181" s="97"/>
      <c r="BB181" s="97"/>
      <c r="BC181" s="97"/>
      <c r="BD181" s="97"/>
      <c r="BE181" s="97"/>
    </row>
    <row r="182" s="115" customFormat="1" customHeight="1" spans="1:57">
      <c r="A182" s="115" t="s">
        <v>3788</v>
      </c>
      <c r="B182" s="111" t="s">
        <v>3789</v>
      </c>
      <c r="C182" s="554" t="s">
        <v>3790</v>
      </c>
      <c r="D182" s="121" t="s">
        <v>3791</v>
      </c>
      <c r="E182" s="266">
        <v>18539979855</v>
      </c>
      <c r="F182" s="267">
        <v>4</v>
      </c>
      <c r="G182" s="268">
        <v>4191</v>
      </c>
      <c r="H182" s="268">
        <v>15.14</v>
      </c>
      <c r="I182" s="274" t="s">
        <v>2657</v>
      </c>
      <c r="J182" s="113" t="s">
        <v>3792</v>
      </c>
      <c r="K182" s="266">
        <v>12.42</v>
      </c>
      <c r="L182" s="266" t="s">
        <v>2691</v>
      </c>
      <c r="M182" s="275" t="s">
        <v>3793</v>
      </c>
      <c r="N182" s="113" t="s">
        <v>66</v>
      </c>
      <c r="O182" s="113"/>
      <c r="P182" s="113"/>
      <c r="Q182" s="113">
        <v>27006.04</v>
      </c>
      <c r="R182" s="113">
        <v>335415</v>
      </c>
      <c r="S182" s="280">
        <v>175415</v>
      </c>
      <c r="T182" s="281">
        <v>160000</v>
      </c>
      <c r="U182" s="280"/>
      <c r="V182" s="280"/>
      <c r="W182" s="280"/>
      <c r="X182" s="280"/>
      <c r="Y182" s="113"/>
      <c r="Z182" s="113"/>
      <c r="AA182" s="275"/>
      <c r="AB182" s="113"/>
      <c r="AC182" s="113"/>
      <c r="AD182" s="113"/>
      <c r="AE182" s="133"/>
      <c r="AF182" s="115" t="s">
        <v>123</v>
      </c>
      <c r="AG182" s="133"/>
      <c r="AH182" s="133"/>
      <c r="AI182" s="132">
        <f t="shared" si="57"/>
        <v>175415</v>
      </c>
      <c r="AJ182" s="132">
        <f t="shared" si="58"/>
        <v>175415</v>
      </c>
      <c r="AK182" s="133">
        <f t="shared" si="59"/>
        <v>0</v>
      </c>
      <c r="AL182" s="132"/>
      <c r="AM182" s="133"/>
      <c r="AN182" s="246">
        <v>44841</v>
      </c>
      <c r="AO182" s="137"/>
      <c r="AP182" s="97"/>
      <c r="AQ182" s="97"/>
      <c r="AR182" s="97"/>
      <c r="AS182" s="97"/>
      <c r="AT182" s="97"/>
      <c r="AU182" s="97"/>
      <c r="AV182" s="97"/>
      <c r="AW182" s="97"/>
      <c r="AX182" s="97"/>
      <c r="AY182" s="97"/>
      <c r="AZ182" s="97"/>
      <c r="BA182" s="97"/>
      <c r="BB182" s="97"/>
      <c r="BC182" s="97"/>
      <c r="BD182" s="97"/>
      <c r="BE182" s="97"/>
    </row>
    <row r="183" s="115" customFormat="1" customHeight="1" spans="1:57">
      <c r="A183" s="115" t="s">
        <v>3794</v>
      </c>
      <c r="B183" s="111" t="s">
        <v>3795</v>
      </c>
      <c r="C183" s="111" t="s">
        <v>3796</v>
      </c>
      <c r="D183" s="121" t="s">
        <v>3797</v>
      </c>
      <c r="E183" s="266">
        <v>13262196031</v>
      </c>
      <c r="F183" s="267">
        <v>3</v>
      </c>
      <c r="G183" s="268">
        <v>3565</v>
      </c>
      <c r="H183" s="268">
        <v>19.81</v>
      </c>
      <c r="I183" s="274" t="s">
        <v>2657</v>
      </c>
      <c r="J183" s="113" t="s">
        <v>3798</v>
      </c>
      <c r="K183" s="266">
        <v>15.51</v>
      </c>
      <c r="L183" s="266" t="s">
        <v>3282</v>
      </c>
      <c r="M183" s="275" t="s">
        <v>3799</v>
      </c>
      <c r="N183" s="113" t="s">
        <v>66</v>
      </c>
      <c r="O183" s="113"/>
      <c r="P183" s="113"/>
      <c r="Q183" s="113">
        <v>32237.27</v>
      </c>
      <c r="R183" s="113">
        <v>500000</v>
      </c>
      <c r="S183" s="280">
        <v>250000</v>
      </c>
      <c r="T183" s="281">
        <v>250000</v>
      </c>
      <c r="U183" s="280"/>
      <c r="V183" s="280"/>
      <c r="W183" s="280"/>
      <c r="X183" s="280"/>
      <c r="Y183" s="113"/>
      <c r="Z183" s="113"/>
      <c r="AA183" s="275"/>
      <c r="AB183" s="113"/>
      <c r="AC183" s="113"/>
      <c r="AD183" s="113"/>
      <c r="AE183" s="133"/>
      <c r="AF183" s="115" t="s">
        <v>123</v>
      </c>
      <c r="AG183" s="133"/>
      <c r="AH183" s="133"/>
      <c r="AI183" s="132">
        <f t="shared" si="57"/>
        <v>250000</v>
      </c>
      <c r="AJ183" s="132">
        <f t="shared" si="58"/>
        <v>250000</v>
      </c>
      <c r="AK183" s="133">
        <f t="shared" si="59"/>
        <v>0</v>
      </c>
      <c r="AL183" s="132"/>
      <c r="AM183" s="133"/>
      <c r="AN183" s="246">
        <v>44841</v>
      </c>
      <c r="AO183" s="137"/>
      <c r="AP183" s="97"/>
      <c r="AQ183" s="97"/>
      <c r="AR183" s="97"/>
      <c r="AS183" s="97"/>
      <c r="AT183" s="97"/>
      <c r="AU183" s="97"/>
      <c r="AV183" s="97"/>
      <c r="AW183" s="97"/>
      <c r="AX183" s="97"/>
      <c r="AY183" s="97"/>
      <c r="AZ183" s="97"/>
      <c r="BA183" s="97"/>
      <c r="BB183" s="97"/>
      <c r="BC183" s="97"/>
      <c r="BD183" s="97"/>
      <c r="BE183" s="97"/>
    </row>
    <row r="184" s="115" customFormat="1" customHeight="1" spans="1:57">
      <c r="A184" s="115" t="s">
        <v>3800</v>
      </c>
      <c r="B184" s="111" t="s">
        <v>3801</v>
      </c>
      <c r="C184" s="554" t="s">
        <v>3802</v>
      </c>
      <c r="D184" s="121" t="s">
        <v>3803</v>
      </c>
      <c r="E184" s="266">
        <v>15981884512</v>
      </c>
      <c r="F184" s="267">
        <v>4</v>
      </c>
      <c r="G184" s="268" t="s">
        <v>3804</v>
      </c>
      <c r="H184" s="268">
        <v>16.38</v>
      </c>
      <c r="I184" s="274" t="s">
        <v>2657</v>
      </c>
      <c r="J184" s="113" t="s">
        <v>3805</v>
      </c>
      <c r="K184" s="266">
        <v>16.19</v>
      </c>
      <c r="L184" s="266" t="s">
        <v>3326</v>
      </c>
      <c r="M184" s="275" t="s">
        <v>3806</v>
      </c>
      <c r="N184" s="113" t="s">
        <v>66</v>
      </c>
      <c r="O184" s="113"/>
      <c r="P184" s="113"/>
      <c r="Q184" s="113">
        <v>26553.18</v>
      </c>
      <c r="R184" s="113">
        <v>434941</v>
      </c>
      <c r="S184" s="280">
        <v>234941</v>
      </c>
      <c r="T184" s="281">
        <v>200000</v>
      </c>
      <c r="U184" s="280"/>
      <c r="V184" s="280">
        <v>1064</v>
      </c>
      <c r="W184" s="280">
        <v>550</v>
      </c>
      <c r="X184" s="280"/>
      <c r="Y184" s="113"/>
      <c r="Z184" s="113"/>
      <c r="AA184" s="275"/>
      <c r="AB184" s="113" t="s">
        <v>3807</v>
      </c>
      <c r="AC184" s="113"/>
      <c r="AD184" s="113"/>
      <c r="AE184" s="133"/>
      <c r="AG184" s="133"/>
      <c r="AH184" s="133"/>
      <c r="AI184" s="132">
        <f t="shared" si="57"/>
        <v>236555</v>
      </c>
      <c r="AJ184" s="132">
        <f t="shared" si="58"/>
        <v>236555</v>
      </c>
      <c r="AK184" s="133">
        <f t="shared" si="59"/>
        <v>0</v>
      </c>
      <c r="AL184" s="132"/>
      <c r="AM184" s="133"/>
      <c r="AN184" s="246">
        <v>44841</v>
      </c>
      <c r="AO184" s="137"/>
      <c r="AP184" s="97"/>
      <c r="AQ184" s="97"/>
      <c r="AR184" s="97"/>
      <c r="AS184" s="97"/>
      <c r="AT184" s="97"/>
      <c r="AU184" s="97"/>
      <c r="AV184" s="97"/>
      <c r="AW184" s="97"/>
      <c r="AX184" s="97"/>
      <c r="AY184" s="97"/>
      <c r="AZ184" s="97"/>
      <c r="BA184" s="97"/>
      <c r="BB184" s="97"/>
      <c r="BC184" s="97"/>
      <c r="BD184" s="97"/>
      <c r="BE184" s="97"/>
    </row>
    <row r="185" s="115" customFormat="1" customHeight="1" spans="1:57">
      <c r="A185" s="115" t="s">
        <v>3808</v>
      </c>
      <c r="B185" s="111" t="s">
        <v>3809</v>
      </c>
      <c r="C185" s="111" t="s">
        <v>3810</v>
      </c>
      <c r="D185" s="121" t="s">
        <v>3811</v>
      </c>
      <c r="E185" s="266">
        <v>13526520679</v>
      </c>
      <c r="F185" s="267">
        <v>3</v>
      </c>
      <c r="G185" s="268">
        <v>3718</v>
      </c>
      <c r="H185" s="268">
        <v>16.74</v>
      </c>
      <c r="I185" s="274" t="s">
        <v>2657</v>
      </c>
      <c r="J185" s="113" t="s">
        <v>3812</v>
      </c>
      <c r="K185" s="266">
        <v>18.42</v>
      </c>
      <c r="L185" s="266" t="s">
        <v>2762</v>
      </c>
      <c r="M185" s="275" t="s">
        <v>3772</v>
      </c>
      <c r="N185" s="113" t="s">
        <v>56</v>
      </c>
      <c r="O185" s="113"/>
      <c r="P185" s="113"/>
      <c r="Q185" s="113">
        <v>32246.85</v>
      </c>
      <c r="R185" s="113">
        <v>539812</v>
      </c>
      <c r="S185" s="280">
        <v>539812</v>
      </c>
      <c r="T185" s="281">
        <v>0</v>
      </c>
      <c r="U185" s="280"/>
      <c r="V185" s="280">
        <v>1088</v>
      </c>
      <c r="W185" s="280">
        <v>550</v>
      </c>
      <c r="X185" s="280"/>
      <c r="Y185" s="113" t="s">
        <v>2669</v>
      </c>
      <c r="Z185" s="113"/>
      <c r="AA185" s="275"/>
      <c r="AB185" s="113"/>
      <c r="AC185" s="113"/>
      <c r="AD185" s="113"/>
      <c r="AE185" s="133"/>
      <c r="AF185" s="115" t="s">
        <v>123</v>
      </c>
      <c r="AG185" s="133"/>
      <c r="AH185" s="133"/>
      <c r="AI185" s="132">
        <f t="shared" ref="AI185:AI196" si="60">S185+U185+V185+W185+X185+AC185+AD185+AE185</f>
        <v>541450</v>
      </c>
      <c r="AJ185" s="132">
        <f t="shared" ref="AJ185:AJ196" si="61">S185+U185+V185+W185+X185</f>
        <v>541450</v>
      </c>
      <c r="AK185" s="133">
        <f t="shared" ref="AK185:AK196" si="62">AI185-AJ185</f>
        <v>0</v>
      </c>
      <c r="AL185" s="132"/>
      <c r="AM185" s="133"/>
      <c r="AN185" s="246">
        <v>44841</v>
      </c>
      <c r="AO185" s="137"/>
      <c r="AP185" s="97"/>
      <c r="AQ185" s="97"/>
      <c r="AR185" s="97"/>
      <c r="AS185" s="97"/>
      <c r="AT185" s="97"/>
      <c r="AU185" s="97"/>
      <c r="AV185" s="97"/>
      <c r="AW185" s="97"/>
      <c r="AX185" s="97"/>
      <c r="AY185" s="97"/>
      <c r="AZ185" s="97"/>
      <c r="BA185" s="97"/>
      <c r="BB185" s="97"/>
      <c r="BC185" s="97"/>
      <c r="BD185" s="97"/>
      <c r="BE185" s="97"/>
    </row>
    <row r="186" s="115" customFormat="1" customHeight="1" spans="1:57">
      <c r="A186" s="115" t="s">
        <v>3813</v>
      </c>
      <c r="B186" s="111" t="s">
        <v>3814</v>
      </c>
      <c r="C186" s="554" t="s">
        <v>3815</v>
      </c>
      <c r="D186" s="121" t="s">
        <v>3816</v>
      </c>
      <c r="E186" s="266">
        <v>13526481508</v>
      </c>
      <c r="F186" s="267">
        <v>4</v>
      </c>
      <c r="G186" s="268">
        <v>494</v>
      </c>
      <c r="H186" s="268">
        <v>26.19</v>
      </c>
      <c r="I186" s="274" t="s">
        <v>2665</v>
      </c>
      <c r="J186" s="113" t="s">
        <v>3817</v>
      </c>
      <c r="K186" s="266">
        <v>26.18</v>
      </c>
      <c r="L186" s="266" t="s">
        <v>2712</v>
      </c>
      <c r="M186" s="275" t="s">
        <v>3818</v>
      </c>
      <c r="N186" s="113" t="s">
        <v>56</v>
      </c>
      <c r="O186" s="113"/>
      <c r="P186" s="113"/>
      <c r="Q186" s="113">
        <v>22052.64</v>
      </c>
      <c r="R186" s="113">
        <v>577559</v>
      </c>
      <c r="S186" s="280">
        <v>577559</v>
      </c>
      <c r="T186" s="281">
        <v>0</v>
      </c>
      <c r="U186" s="280"/>
      <c r="V186" s="280">
        <v>1702</v>
      </c>
      <c r="W186" s="280">
        <v>550</v>
      </c>
      <c r="X186" s="280"/>
      <c r="Y186" s="113"/>
      <c r="Z186" s="113"/>
      <c r="AA186" s="275"/>
      <c r="AB186" s="113"/>
      <c r="AC186" s="113"/>
      <c r="AD186" s="113"/>
      <c r="AE186" s="133"/>
      <c r="AG186" s="133"/>
      <c r="AH186" s="133"/>
      <c r="AI186" s="132">
        <f t="shared" si="60"/>
        <v>579811</v>
      </c>
      <c r="AJ186" s="132">
        <f t="shared" si="61"/>
        <v>579811</v>
      </c>
      <c r="AK186" s="133">
        <f t="shared" si="62"/>
        <v>0</v>
      </c>
      <c r="AL186" s="132"/>
      <c r="AM186" s="133"/>
      <c r="AN186" s="246">
        <v>44841</v>
      </c>
      <c r="AO186" s="137"/>
      <c r="AP186" s="97"/>
      <c r="AQ186" s="97"/>
      <c r="AR186" s="97"/>
      <c r="AS186" s="97"/>
      <c r="AT186" s="97"/>
      <c r="AU186" s="97"/>
      <c r="AV186" s="97"/>
      <c r="AW186" s="97"/>
      <c r="AX186" s="97"/>
      <c r="AY186" s="97"/>
      <c r="AZ186" s="97"/>
      <c r="BA186" s="97"/>
      <c r="BB186" s="97"/>
      <c r="BC186" s="97"/>
      <c r="BD186" s="97"/>
      <c r="BE186" s="97"/>
    </row>
    <row r="187" s="115" customFormat="1" customHeight="1" spans="1:57">
      <c r="A187" s="115" t="s">
        <v>3819</v>
      </c>
      <c r="B187" s="111" t="s">
        <v>3820</v>
      </c>
      <c r="C187" s="554" t="s">
        <v>3821</v>
      </c>
      <c r="D187" s="121" t="s">
        <v>3822</v>
      </c>
      <c r="E187" s="266">
        <v>13526550755</v>
      </c>
      <c r="F187" s="267">
        <v>4</v>
      </c>
      <c r="G187" s="268">
        <v>4294</v>
      </c>
      <c r="H187" s="268">
        <v>17.81</v>
      </c>
      <c r="I187" s="274" t="s">
        <v>2657</v>
      </c>
      <c r="J187" s="113"/>
      <c r="K187" s="266"/>
      <c r="L187" s="266" t="s">
        <v>3823</v>
      </c>
      <c r="M187" s="275" t="s">
        <v>3824</v>
      </c>
      <c r="N187" s="113" t="s">
        <v>66</v>
      </c>
      <c r="O187" s="113"/>
      <c r="P187" s="113"/>
      <c r="Q187" s="113">
        <v>26989.43</v>
      </c>
      <c r="R187" s="113">
        <v>480682</v>
      </c>
      <c r="S187" s="280">
        <v>240682</v>
      </c>
      <c r="T187" s="281">
        <v>240000</v>
      </c>
      <c r="U187" s="280"/>
      <c r="V187" s="280">
        <v>1157</v>
      </c>
      <c r="W187" s="280">
        <v>550</v>
      </c>
      <c r="X187" s="280"/>
      <c r="Y187" s="113"/>
      <c r="Z187" s="113"/>
      <c r="AA187" s="275"/>
      <c r="AB187" s="113"/>
      <c r="AC187" s="113"/>
      <c r="AD187" s="113"/>
      <c r="AE187" s="133"/>
      <c r="AG187" s="133"/>
      <c r="AH187" s="133"/>
      <c r="AI187" s="132">
        <f t="shared" si="60"/>
        <v>242389</v>
      </c>
      <c r="AJ187" s="132">
        <f t="shared" si="61"/>
        <v>242389</v>
      </c>
      <c r="AK187" s="133">
        <f t="shared" si="62"/>
        <v>0</v>
      </c>
      <c r="AL187" s="132"/>
      <c r="AM187" s="133"/>
      <c r="AN187" s="246">
        <v>44841</v>
      </c>
      <c r="AO187" s="137"/>
      <c r="AP187" s="97"/>
      <c r="AQ187" s="97"/>
      <c r="AR187" s="97"/>
      <c r="AS187" s="97"/>
      <c r="AT187" s="97"/>
      <c r="AU187" s="97"/>
      <c r="AV187" s="97"/>
      <c r="AW187" s="97"/>
      <c r="AX187" s="97"/>
      <c r="AY187" s="97"/>
      <c r="AZ187" s="97"/>
      <c r="BA187" s="97"/>
      <c r="BB187" s="97"/>
      <c r="BC187" s="97"/>
      <c r="BD187" s="97"/>
      <c r="BE187" s="97"/>
    </row>
    <row r="188" s="115" customFormat="1" customHeight="1" spans="1:57">
      <c r="A188" s="115" t="s">
        <v>3825</v>
      </c>
      <c r="B188" s="111" t="s">
        <v>3826</v>
      </c>
      <c r="C188" s="111" t="s">
        <v>3827</v>
      </c>
      <c r="D188" s="121" t="s">
        <v>3828</v>
      </c>
      <c r="E188" s="266">
        <v>13938515604</v>
      </c>
      <c r="F188" s="267">
        <v>3</v>
      </c>
      <c r="G188" s="268">
        <v>3374</v>
      </c>
      <c r="H188" s="268">
        <v>22.05</v>
      </c>
      <c r="I188" s="274" t="s">
        <v>2657</v>
      </c>
      <c r="J188" s="113" t="s">
        <v>3829</v>
      </c>
      <c r="K188" s="266">
        <v>18.15</v>
      </c>
      <c r="L188" s="266" t="s">
        <v>3049</v>
      </c>
      <c r="M188" s="275" t="s">
        <v>3035</v>
      </c>
      <c r="N188" s="113" t="s">
        <v>66</v>
      </c>
      <c r="O188" s="113"/>
      <c r="P188" s="113"/>
      <c r="Q188" s="113">
        <v>31695.04</v>
      </c>
      <c r="R188" s="113">
        <v>575265</v>
      </c>
      <c r="S188" s="280">
        <v>295265</v>
      </c>
      <c r="T188" s="281">
        <f t="shared" ref="T188:T201" si="63">R188-S188</f>
        <v>280000</v>
      </c>
      <c r="U188" s="280"/>
      <c r="V188" s="280"/>
      <c r="W188" s="280"/>
      <c r="X188" s="280"/>
      <c r="Y188" s="113"/>
      <c r="Z188" s="113"/>
      <c r="AA188" s="275"/>
      <c r="AB188" s="113"/>
      <c r="AC188" s="113"/>
      <c r="AD188" s="113"/>
      <c r="AE188" s="133"/>
      <c r="AG188" s="133"/>
      <c r="AH188" s="133"/>
      <c r="AI188" s="132">
        <f t="shared" si="60"/>
        <v>295265</v>
      </c>
      <c r="AJ188" s="132">
        <f t="shared" si="61"/>
        <v>295265</v>
      </c>
      <c r="AK188" s="133">
        <f t="shared" si="62"/>
        <v>0</v>
      </c>
      <c r="AL188" s="132"/>
      <c r="AM188" s="133"/>
      <c r="AN188" s="246">
        <v>44841</v>
      </c>
      <c r="AO188" s="137"/>
      <c r="AP188" s="97"/>
      <c r="AQ188" s="97"/>
      <c r="AR188" s="97"/>
      <c r="AS188" s="97"/>
      <c r="AT188" s="97"/>
      <c r="AU188" s="97"/>
      <c r="AV188" s="97"/>
      <c r="AW188" s="97"/>
      <c r="AX188" s="97"/>
      <c r="AY188" s="97"/>
      <c r="AZ188" s="97"/>
      <c r="BA188" s="97"/>
      <c r="BB188" s="97"/>
      <c r="BC188" s="97"/>
      <c r="BD188" s="97"/>
      <c r="BE188" s="97"/>
    </row>
    <row r="189" s="115" customFormat="1" customHeight="1" spans="1:57">
      <c r="A189" s="115" t="s">
        <v>3830</v>
      </c>
      <c r="B189" s="111" t="s">
        <v>3831</v>
      </c>
      <c r="C189" s="111" t="s">
        <v>3832</v>
      </c>
      <c r="D189" s="121" t="s">
        <v>3833</v>
      </c>
      <c r="E189" s="266">
        <v>15516196793</v>
      </c>
      <c r="F189" s="267">
        <v>3</v>
      </c>
      <c r="G189" s="268">
        <v>3463</v>
      </c>
      <c r="H189" s="268">
        <v>23.67</v>
      </c>
      <c r="I189" s="274" t="s">
        <v>2657</v>
      </c>
      <c r="J189" s="113" t="s">
        <v>3834</v>
      </c>
      <c r="K189" s="266">
        <v>20.41</v>
      </c>
      <c r="L189" s="266" t="s">
        <v>3835</v>
      </c>
      <c r="M189" s="275" t="s">
        <v>3836</v>
      </c>
      <c r="N189" s="113" t="s">
        <v>66</v>
      </c>
      <c r="O189" s="113"/>
      <c r="P189" s="113"/>
      <c r="Q189" s="113">
        <v>31717.64</v>
      </c>
      <c r="R189" s="113">
        <v>647357</v>
      </c>
      <c r="S189" s="280">
        <v>327357</v>
      </c>
      <c r="T189" s="281">
        <f t="shared" si="63"/>
        <v>320000</v>
      </c>
      <c r="U189" s="280"/>
      <c r="V189" s="280"/>
      <c r="W189" s="280"/>
      <c r="X189" s="280"/>
      <c r="Y189" s="113"/>
      <c r="Z189" s="113"/>
      <c r="AA189" s="275"/>
      <c r="AB189" s="113"/>
      <c r="AC189" s="113"/>
      <c r="AD189" s="113"/>
      <c r="AE189" s="133"/>
      <c r="AF189" s="115" t="s">
        <v>123</v>
      </c>
      <c r="AG189" s="133"/>
      <c r="AH189" s="133"/>
      <c r="AI189" s="132">
        <f t="shared" si="60"/>
        <v>327357</v>
      </c>
      <c r="AJ189" s="132">
        <f t="shared" si="61"/>
        <v>327357</v>
      </c>
      <c r="AK189" s="133">
        <f t="shared" si="62"/>
        <v>0</v>
      </c>
      <c r="AL189" s="132"/>
      <c r="AM189" s="133"/>
      <c r="AN189" s="246">
        <v>44841</v>
      </c>
      <c r="AO189" s="137"/>
      <c r="AP189" s="97"/>
      <c r="AQ189" s="97"/>
      <c r="AR189" s="97"/>
      <c r="AS189" s="97"/>
      <c r="AT189" s="97"/>
      <c r="AU189" s="97"/>
      <c r="AV189" s="97"/>
      <c r="AW189" s="97"/>
      <c r="AX189" s="97"/>
      <c r="AY189" s="97"/>
      <c r="AZ189" s="97"/>
      <c r="BA189" s="97"/>
      <c r="BB189" s="97"/>
      <c r="BC189" s="97"/>
      <c r="BD189" s="97"/>
      <c r="BE189" s="97"/>
    </row>
    <row r="190" s="115" customFormat="1" customHeight="1" spans="1:57">
      <c r="A190" s="115" t="s">
        <v>3837</v>
      </c>
      <c r="B190" s="111" t="s">
        <v>3838</v>
      </c>
      <c r="C190" s="111" t="s">
        <v>3839</v>
      </c>
      <c r="D190" s="121" t="s">
        <v>3840</v>
      </c>
      <c r="E190" s="266">
        <v>18695823849</v>
      </c>
      <c r="F190" s="267">
        <v>3</v>
      </c>
      <c r="G190" s="268">
        <v>3717</v>
      </c>
      <c r="H190" s="268">
        <v>16.1</v>
      </c>
      <c r="I190" s="274" t="s">
        <v>2657</v>
      </c>
      <c r="J190" s="113" t="s">
        <v>3841</v>
      </c>
      <c r="K190" s="266">
        <v>15.62</v>
      </c>
      <c r="L190" s="266" t="s">
        <v>2854</v>
      </c>
      <c r="M190" s="275" t="s">
        <v>3842</v>
      </c>
      <c r="N190" s="113" t="s">
        <v>56</v>
      </c>
      <c r="O190" s="113"/>
      <c r="P190" s="113"/>
      <c r="Q190" s="113">
        <v>31996.16</v>
      </c>
      <c r="R190" s="113">
        <v>515138</v>
      </c>
      <c r="S190" s="280">
        <v>515138</v>
      </c>
      <c r="T190" s="281">
        <f t="shared" si="63"/>
        <v>0</v>
      </c>
      <c r="U190" s="280"/>
      <c r="V190" s="280">
        <v>1046</v>
      </c>
      <c r="W190" s="280">
        <v>550</v>
      </c>
      <c r="X190" s="280"/>
      <c r="Y190" s="113" t="s">
        <v>2669</v>
      </c>
      <c r="Z190" s="113" t="s">
        <v>48</v>
      </c>
      <c r="AA190" s="275">
        <v>44019</v>
      </c>
      <c r="AB190" s="113"/>
      <c r="AC190" s="113"/>
      <c r="AD190" s="113"/>
      <c r="AE190" s="133"/>
      <c r="AF190" s="115" t="s">
        <v>208</v>
      </c>
      <c r="AG190" s="133"/>
      <c r="AH190" s="133"/>
      <c r="AI190" s="132">
        <f t="shared" si="60"/>
        <v>516734</v>
      </c>
      <c r="AJ190" s="132">
        <f t="shared" si="61"/>
        <v>516734</v>
      </c>
      <c r="AK190" s="133">
        <f t="shared" si="62"/>
        <v>0</v>
      </c>
      <c r="AL190" s="132"/>
      <c r="AM190" s="133"/>
      <c r="AN190" s="246">
        <v>44841</v>
      </c>
      <c r="AO190" s="137"/>
      <c r="AP190" s="97"/>
      <c r="AQ190" s="97"/>
      <c r="AR190" s="97"/>
      <c r="AS190" s="97"/>
      <c r="AT190" s="97"/>
      <c r="AU190" s="97"/>
      <c r="AV190" s="97"/>
      <c r="AW190" s="97"/>
      <c r="AX190" s="97"/>
      <c r="AY190" s="97"/>
      <c r="AZ190" s="97"/>
      <c r="BA190" s="97"/>
      <c r="BB190" s="97"/>
      <c r="BC190" s="97"/>
      <c r="BD190" s="97"/>
      <c r="BE190" s="97"/>
    </row>
    <row r="191" s="115" customFormat="1" customHeight="1" spans="1:57">
      <c r="A191" s="115" t="s">
        <v>3843</v>
      </c>
      <c r="B191" s="111" t="s">
        <v>3844</v>
      </c>
      <c r="C191" s="554" t="s">
        <v>3845</v>
      </c>
      <c r="D191" s="121" t="s">
        <v>3846</v>
      </c>
      <c r="E191" s="266" t="s">
        <v>3847</v>
      </c>
      <c r="F191" s="267">
        <v>2</v>
      </c>
      <c r="G191" s="268">
        <v>267</v>
      </c>
      <c r="H191" s="268">
        <v>42.21</v>
      </c>
      <c r="I191" s="274" t="s">
        <v>2665</v>
      </c>
      <c r="J191" s="113" t="s">
        <v>3848</v>
      </c>
      <c r="K191" s="266">
        <v>40.23</v>
      </c>
      <c r="L191" s="266" t="s">
        <v>3849</v>
      </c>
      <c r="M191" s="275" t="s">
        <v>3850</v>
      </c>
      <c r="N191" s="113" t="s">
        <v>56</v>
      </c>
      <c r="O191" s="113"/>
      <c r="P191" s="113"/>
      <c r="Q191" s="113">
        <v>30574.2</v>
      </c>
      <c r="R191" s="113">
        <v>1230000</v>
      </c>
      <c r="S191" s="280">
        <v>1230000</v>
      </c>
      <c r="T191" s="281">
        <f t="shared" si="63"/>
        <v>0</v>
      </c>
      <c r="U191" s="280"/>
      <c r="V191" s="280"/>
      <c r="W191" s="280"/>
      <c r="X191" s="280"/>
      <c r="Y191" s="113"/>
      <c r="Z191" s="113"/>
      <c r="AA191" s="275"/>
      <c r="AB191" s="113" t="s">
        <v>3851</v>
      </c>
      <c r="AC191" s="113"/>
      <c r="AD191" s="113"/>
      <c r="AE191" s="133"/>
      <c r="AF191" s="115" t="s">
        <v>208</v>
      </c>
      <c r="AG191" s="133"/>
      <c r="AH191" s="133"/>
      <c r="AI191" s="132">
        <f t="shared" si="60"/>
        <v>1230000</v>
      </c>
      <c r="AJ191" s="132">
        <f t="shared" si="61"/>
        <v>1230000</v>
      </c>
      <c r="AK191" s="133">
        <f t="shared" si="62"/>
        <v>0</v>
      </c>
      <c r="AL191" s="132"/>
      <c r="AM191" s="133"/>
      <c r="AN191" s="246">
        <v>44841</v>
      </c>
      <c r="AO191" s="137"/>
      <c r="AP191" s="97"/>
      <c r="AQ191" s="97"/>
      <c r="AR191" s="97"/>
      <c r="AS191" s="97"/>
      <c r="AT191" s="97"/>
      <c r="AU191" s="97"/>
      <c r="AV191" s="97"/>
      <c r="AW191" s="97"/>
      <c r="AX191" s="97"/>
      <c r="AY191" s="97"/>
      <c r="AZ191" s="97"/>
      <c r="BA191" s="97"/>
      <c r="BB191" s="97"/>
      <c r="BC191" s="97"/>
      <c r="BD191" s="97"/>
      <c r="BE191" s="97"/>
    </row>
    <row r="192" s="115" customFormat="1" customHeight="1" spans="1:57">
      <c r="A192" s="115" t="s">
        <v>3852</v>
      </c>
      <c r="B192" s="111" t="s">
        <v>3853</v>
      </c>
      <c r="C192" s="111" t="s">
        <v>3854</v>
      </c>
      <c r="D192" s="121" t="s">
        <v>3855</v>
      </c>
      <c r="E192" s="266" t="s">
        <v>3856</v>
      </c>
      <c r="F192" s="267">
        <v>3</v>
      </c>
      <c r="G192" s="268">
        <v>3109</v>
      </c>
      <c r="H192" s="268">
        <v>21.66</v>
      </c>
      <c r="I192" s="274" t="s">
        <v>2657</v>
      </c>
      <c r="J192" s="113" t="s">
        <v>3857</v>
      </c>
      <c r="K192" s="266">
        <v>25.96</v>
      </c>
      <c r="L192" s="266" t="s">
        <v>3858</v>
      </c>
      <c r="M192" s="275" t="s">
        <v>3858</v>
      </c>
      <c r="N192" s="113" t="s">
        <v>56</v>
      </c>
      <c r="O192" s="113"/>
      <c r="P192" s="113"/>
      <c r="Q192" s="113">
        <v>30357.43</v>
      </c>
      <c r="R192" s="113">
        <v>788079</v>
      </c>
      <c r="S192" s="280">
        <v>788079</v>
      </c>
      <c r="T192" s="281">
        <f t="shared" si="63"/>
        <v>0</v>
      </c>
      <c r="U192" s="280"/>
      <c r="V192" s="280"/>
      <c r="W192" s="280"/>
      <c r="X192" s="280"/>
      <c r="Y192" s="113"/>
      <c r="Z192" s="113"/>
      <c r="AA192" s="275"/>
      <c r="AB192" s="113"/>
      <c r="AC192" s="113"/>
      <c r="AD192" s="113"/>
      <c r="AE192" s="133"/>
      <c r="AG192" s="133"/>
      <c r="AH192" s="133"/>
      <c r="AI192" s="132">
        <f t="shared" si="60"/>
        <v>788079</v>
      </c>
      <c r="AJ192" s="132">
        <f t="shared" si="61"/>
        <v>788079</v>
      </c>
      <c r="AK192" s="133">
        <f t="shared" si="62"/>
        <v>0</v>
      </c>
      <c r="AL192" s="132"/>
      <c r="AM192" s="133"/>
      <c r="AN192" s="246">
        <v>44841</v>
      </c>
      <c r="AO192" s="137"/>
      <c r="AP192" s="97"/>
      <c r="AQ192" s="97"/>
      <c r="AR192" s="97"/>
      <c r="AS192" s="97"/>
      <c r="AT192" s="97"/>
      <c r="AU192" s="97"/>
      <c r="AV192" s="97"/>
      <c r="AW192" s="97"/>
      <c r="AX192" s="97"/>
      <c r="AY192" s="97"/>
      <c r="AZ192" s="97"/>
      <c r="BA192" s="97"/>
      <c r="BB192" s="97"/>
      <c r="BC192" s="97"/>
      <c r="BD192" s="97"/>
      <c r="BE192" s="97"/>
    </row>
    <row r="193" s="115" customFormat="1" customHeight="1" spans="1:57">
      <c r="A193" s="115" t="s">
        <v>3859</v>
      </c>
      <c r="B193" s="111" t="s">
        <v>3860</v>
      </c>
      <c r="C193" s="554" t="s">
        <v>3861</v>
      </c>
      <c r="D193" s="121" t="s">
        <v>3862</v>
      </c>
      <c r="E193" s="266" t="s">
        <v>3863</v>
      </c>
      <c r="F193" s="267">
        <v>3</v>
      </c>
      <c r="G193" s="268">
        <v>3197</v>
      </c>
      <c r="H193" s="268">
        <v>20.04</v>
      </c>
      <c r="I193" s="274" t="s">
        <v>2665</v>
      </c>
      <c r="J193" s="113" t="s">
        <v>3864</v>
      </c>
      <c r="K193" s="266">
        <v>19.7</v>
      </c>
      <c r="L193" s="266" t="s">
        <v>3865</v>
      </c>
      <c r="M193" s="275"/>
      <c r="N193" s="113" t="s">
        <v>66</v>
      </c>
      <c r="O193" s="113"/>
      <c r="P193" s="113"/>
      <c r="Q193" s="113">
        <v>31299.09</v>
      </c>
      <c r="R193" s="113">
        <v>616592</v>
      </c>
      <c r="S193" s="280">
        <v>316592</v>
      </c>
      <c r="T193" s="281">
        <f t="shared" si="63"/>
        <v>300000</v>
      </c>
      <c r="U193" s="280"/>
      <c r="V193" s="280"/>
      <c r="W193" s="280"/>
      <c r="X193" s="280"/>
      <c r="Y193" s="113"/>
      <c r="Z193" s="113"/>
      <c r="AA193" s="275"/>
      <c r="AB193" s="113"/>
      <c r="AC193" s="113"/>
      <c r="AD193" s="113"/>
      <c r="AE193" s="133"/>
      <c r="AF193" s="115" t="s">
        <v>208</v>
      </c>
      <c r="AG193" s="133"/>
      <c r="AH193" s="133"/>
      <c r="AI193" s="132">
        <f t="shared" si="60"/>
        <v>316592</v>
      </c>
      <c r="AJ193" s="132">
        <f t="shared" si="61"/>
        <v>316592</v>
      </c>
      <c r="AK193" s="133">
        <f t="shared" si="62"/>
        <v>0</v>
      </c>
      <c r="AL193" s="132"/>
      <c r="AM193" s="133"/>
      <c r="AN193" s="246">
        <v>44841</v>
      </c>
      <c r="AO193" s="137"/>
      <c r="AP193" s="97"/>
      <c r="AQ193" s="97"/>
      <c r="AR193" s="97"/>
      <c r="AS193" s="97"/>
      <c r="AT193" s="97"/>
      <c r="AU193" s="97"/>
      <c r="AV193" s="97"/>
      <c r="AW193" s="97"/>
      <c r="AX193" s="97"/>
      <c r="AY193" s="97"/>
      <c r="AZ193" s="97"/>
      <c r="BA193" s="97"/>
      <c r="BB193" s="97"/>
      <c r="BC193" s="97"/>
      <c r="BD193" s="97"/>
      <c r="BE193" s="97"/>
    </row>
    <row r="194" s="115" customFormat="1" customHeight="1" spans="1:57">
      <c r="A194" s="115" t="s">
        <v>3866</v>
      </c>
      <c r="B194" s="111" t="s">
        <v>3867</v>
      </c>
      <c r="C194" s="111" t="s">
        <v>3868</v>
      </c>
      <c r="D194" s="121" t="s">
        <v>3869</v>
      </c>
      <c r="E194" s="266">
        <v>15517136654</v>
      </c>
      <c r="F194" s="267">
        <v>3</v>
      </c>
      <c r="G194" s="268">
        <v>3678</v>
      </c>
      <c r="H194" s="268">
        <v>17.72</v>
      </c>
      <c r="I194" s="274" t="s">
        <v>2657</v>
      </c>
      <c r="J194" s="113" t="s">
        <v>3870</v>
      </c>
      <c r="K194" s="266">
        <v>16.56</v>
      </c>
      <c r="L194" s="266" t="s">
        <v>2955</v>
      </c>
      <c r="M194" s="275" t="s">
        <v>3686</v>
      </c>
      <c r="N194" s="113" t="s">
        <v>66</v>
      </c>
      <c r="O194" s="113"/>
      <c r="P194" s="113"/>
      <c r="Q194" s="113">
        <v>32758.33</v>
      </c>
      <c r="R194" s="113">
        <v>542478</v>
      </c>
      <c r="S194" s="280">
        <v>272478</v>
      </c>
      <c r="T194" s="281">
        <f t="shared" si="63"/>
        <v>270000</v>
      </c>
      <c r="U194" s="280"/>
      <c r="V194" s="280"/>
      <c r="W194" s="280"/>
      <c r="X194" s="280"/>
      <c r="Y194" s="113"/>
      <c r="Z194" s="113"/>
      <c r="AA194" s="275"/>
      <c r="AB194" s="113"/>
      <c r="AC194" s="113"/>
      <c r="AD194" s="113"/>
      <c r="AE194" s="133"/>
      <c r="AG194" s="133"/>
      <c r="AH194" s="133"/>
      <c r="AI194" s="132">
        <f t="shared" si="60"/>
        <v>272478</v>
      </c>
      <c r="AJ194" s="132">
        <f t="shared" si="61"/>
        <v>272478</v>
      </c>
      <c r="AK194" s="133">
        <f t="shared" si="62"/>
        <v>0</v>
      </c>
      <c r="AL194" s="132"/>
      <c r="AM194" s="133"/>
      <c r="AN194" s="246">
        <v>44841</v>
      </c>
      <c r="AO194" s="137"/>
      <c r="AP194" s="97"/>
      <c r="AQ194" s="97"/>
      <c r="AR194" s="97"/>
      <c r="AS194" s="97"/>
      <c r="AT194" s="97"/>
      <c r="AU194" s="97"/>
      <c r="AV194" s="97"/>
      <c r="AW194" s="97"/>
      <c r="AX194" s="97"/>
      <c r="AY194" s="97"/>
      <c r="AZ194" s="97"/>
      <c r="BA194" s="97"/>
      <c r="BB194" s="97"/>
      <c r="BC194" s="97"/>
      <c r="BD194" s="97"/>
      <c r="BE194" s="97"/>
    </row>
    <row r="195" s="115" customFormat="1" customHeight="1" spans="1:57">
      <c r="A195" s="115" t="s">
        <v>3871</v>
      </c>
      <c r="B195" s="111" t="s">
        <v>3872</v>
      </c>
      <c r="C195" s="111" t="s">
        <v>3873</v>
      </c>
      <c r="D195" s="121" t="s">
        <v>3874</v>
      </c>
      <c r="E195" s="266" t="s">
        <v>3875</v>
      </c>
      <c r="F195" s="267">
        <v>4</v>
      </c>
      <c r="G195" s="268">
        <v>4451</v>
      </c>
      <c r="H195" s="268">
        <v>9.81</v>
      </c>
      <c r="I195" s="274" t="s">
        <v>2665</v>
      </c>
      <c r="J195" s="113" t="s">
        <v>3876</v>
      </c>
      <c r="K195" s="266">
        <v>27.33</v>
      </c>
      <c r="L195" s="266" t="s">
        <v>2712</v>
      </c>
      <c r="M195" s="275" t="s">
        <v>2941</v>
      </c>
      <c r="N195" s="113" t="s">
        <v>56</v>
      </c>
      <c r="O195" s="113"/>
      <c r="P195" s="113"/>
      <c r="Q195" s="113">
        <v>25553.38</v>
      </c>
      <c r="R195" s="113">
        <v>250679</v>
      </c>
      <c r="S195" s="280">
        <v>250679</v>
      </c>
      <c r="T195" s="281">
        <f t="shared" si="63"/>
        <v>0</v>
      </c>
      <c r="U195" s="280"/>
      <c r="V195" s="280">
        <v>637</v>
      </c>
      <c r="W195" s="280">
        <v>550</v>
      </c>
      <c r="X195" s="280"/>
      <c r="Y195" s="113" t="s">
        <v>2669</v>
      </c>
      <c r="Z195" s="113" t="s">
        <v>48</v>
      </c>
      <c r="AA195" s="275">
        <v>44043</v>
      </c>
      <c r="AB195" s="113"/>
      <c r="AC195" s="113"/>
      <c r="AD195" s="113"/>
      <c r="AE195" s="133"/>
      <c r="AG195" s="133"/>
      <c r="AH195" s="133"/>
      <c r="AI195" s="132">
        <f t="shared" si="60"/>
        <v>251866</v>
      </c>
      <c r="AJ195" s="132">
        <f t="shared" si="61"/>
        <v>251866</v>
      </c>
      <c r="AK195" s="133">
        <f t="shared" si="62"/>
        <v>0</v>
      </c>
      <c r="AL195" s="132"/>
      <c r="AM195" s="133"/>
      <c r="AN195" s="246">
        <v>44841</v>
      </c>
      <c r="AO195" s="137"/>
      <c r="AP195" s="97"/>
      <c r="AQ195" s="97"/>
      <c r="AR195" s="97"/>
      <c r="AS195" s="97"/>
      <c r="AT195" s="97"/>
      <c r="AU195" s="97"/>
      <c r="AV195" s="97"/>
      <c r="AW195" s="97"/>
      <c r="AX195" s="97"/>
      <c r="AY195" s="97"/>
      <c r="AZ195" s="97"/>
      <c r="BA195" s="97"/>
      <c r="BB195" s="97"/>
      <c r="BC195" s="97"/>
      <c r="BD195" s="97"/>
      <c r="BE195" s="97"/>
    </row>
    <row r="196" s="115" customFormat="1" customHeight="1" spans="1:57">
      <c r="A196" s="115" t="s">
        <v>3877</v>
      </c>
      <c r="B196" s="111" t="s">
        <v>3872</v>
      </c>
      <c r="C196" s="111" t="s">
        <v>3873</v>
      </c>
      <c r="D196" s="121" t="s">
        <v>3874</v>
      </c>
      <c r="E196" s="266" t="s">
        <v>3875</v>
      </c>
      <c r="F196" s="267">
        <v>4</v>
      </c>
      <c r="G196" s="268">
        <v>4496</v>
      </c>
      <c r="H196" s="268">
        <v>17</v>
      </c>
      <c r="I196" s="274" t="s">
        <v>2665</v>
      </c>
      <c r="J196" s="113" t="s">
        <v>3876</v>
      </c>
      <c r="K196" s="266">
        <v>27.33</v>
      </c>
      <c r="L196" s="266" t="s">
        <v>2712</v>
      </c>
      <c r="M196" s="275" t="s">
        <v>2941</v>
      </c>
      <c r="N196" s="113" t="s">
        <v>56</v>
      </c>
      <c r="O196" s="113"/>
      <c r="P196" s="113"/>
      <c r="Q196" s="113">
        <v>25553.38</v>
      </c>
      <c r="R196" s="113">
        <v>434407</v>
      </c>
      <c r="S196" s="280">
        <v>434407</v>
      </c>
      <c r="T196" s="281">
        <f t="shared" si="63"/>
        <v>0</v>
      </c>
      <c r="U196" s="280"/>
      <c r="V196" s="280">
        <v>1105</v>
      </c>
      <c r="W196" s="280">
        <v>550</v>
      </c>
      <c r="X196" s="280">
        <v>10446</v>
      </c>
      <c r="Y196" s="113" t="s">
        <v>2669</v>
      </c>
      <c r="Z196" s="113" t="s">
        <v>48</v>
      </c>
      <c r="AA196" s="275">
        <v>44043</v>
      </c>
      <c r="AB196" s="113"/>
      <c r="AC196" s="113"/>
      <c r="AD196" s="113"/>
      <c r="AE196" s="133"/>
      <c r="AG196" s="133"/>
      <c r="AH196" s="133"/>
      <c r="AI196" s="132">
        <f t="shared" si="60"/>
        <v>446508</v>
      </c>
      <c r="AJ196" s="132">
        <f t="shared" si="61"/>
        <v>446508</v>
      </c>
      <c r="AK196" s="133">
        <f t="shared" si="62"/>
        <v>0</v>
      </c>
      <c r="AL196" s="132"/>
      <c r="AM196" s="133"/>
      <c r="AN196" s="246">
        <v>44841</v>
      </c>
      <c r="AO196" s="137"/>
      <c r="AP196" s="97"/>
      <c r="AQ196" s="97"/>
      <c r="AR196" s="97"/>
      <c r="AS196" s="97"/>
      <c r="AT196" s="97"/>
      <c r="AU196" s="97"/>
      <c r="AV196" s="97"/>
      <c r="AW196" s="97"/>
      <c r="AX196" s="97"/>
      <c r="AY196" s="97"/>
      <c r="AZ196" s="97"/>
      <c r="BA196" s="97"/>
      <c r="BB196" s="97"/>
      <c r="BC196" s="97"/>
      <c r="BD196" s="97"/>
      <c r="BE196" s="97"/>
    </row>
    <row r="197" s="115" customFormat="1" customHeight="1" spans="1:57">
      <c r="A197" s="115" t="s">
        <v>3878</v>
      </c>
      <c r="B197" s="111" t="s">
        <v>3879</v>
      </c>
      <c r="C197" s="554" t="s">
        <v>3880</v>
      </c>
      <c r="D197" s="121" t="s">
        <v>3881</v>
      </c>
      <c r="E197" s="266">
        <v>13663715123</v>
      </c>
      <c r="F197" s="267">
        <v>4</v>
      </c>
      <c r="G197" s="268">
        <v>409</v>
      </c>
      <c r="H197" s="268">
        <v>31.14</v>
      </c>
      <c r="I197" s="274" t="s">
        <v>2657</v>
      </c>
      <c r="J197" s="113" t="s">
        <v>3882</v>
      </c>
      <c r="K197" s="266">
        <v>29.06</v>
      </c>
      <c r="L197" s="266" t="s">
        <v>3060</v>
      </c>
      <c r="M197" s="275" t="s">
        <v>2763</v>
      </c>
      <c r="N197" s="113" t="s">
        <v>66</v>
      </c>
      <c r="O197" s="113"/>
      <c r="P197" s="113"/>
      <c r="Q197" s="113">
        <v>25529.39</v>
      </c>
      <c r="R197" s="113">
        <v>794985</v>
      </c>
      <c r="S197" s="280">
        <v>404985</v>
      </c>
      <c r="T197" s="281">
        <f t="shared" si="63"/>
        <v>390000</v>
      </c>
      <c r="U197" s="280"/>
      <c r="V197" s="280">
        <v>2024</v>
      </c>
      <c r="W197" s="280">
        <v>550</v>
      </c>
      <c r="X197" s="280"/>
      <c r="Y197" s="113" t="s">
        <v>2669</v>
      </c>
      <c r="Z197" s="113"/>
      <c r="AA197" s="275"/>
      <c r="AB197" s="113"/>
      <c r="AC197" s="113">
        <v>1259</v>
      </c>
      <c r="AD197" s="113"/>
      <c r="AE197" s="133"/>
      <c r="AG197" s="133"/>
      <c r="AH197" s="133"/>
      <c r="AI197" s="132">
        <f t="shared" ref="AI197:AI211" si="64">S197+U197+V197+W197+X197+AC197+AD197+AE197</f>
        <v>408818</v>
      </c>
      <c r="AJ197" s="132">
        <f t="shared" ref="AJ197:AJ211" si="65">S197+U197+V197+W197+X197</f>
        <v>407559</v>
      </c>
      <c r="AK197" s="133">
        <f t="shared" ref="AK197:AK211" si="66">AI197-AJ197</f>
        <v>1259</v>
      </c>
      <c r="AL197" s="132"/>
      <c r="AM197" s="133"/>
      <c r="AN197" s="246">
        <v>44841</v>
      </c>
      <c r="AO197" s="137"/>
      <c r="AP197" s="97"/>
      <c r="AQ197" s="97"/>
      <c r="AR197" s="97"/>
      <c r="AS197" s="97"/>
      <c r="AT197" s="97"/>
      <c r="AU197" s="97"/>
      <c r="AV197" s="97"/>
      <c r="AW197" s="97"/>
      <c r="AX197" s="97"/>
      <c r="AY197" s="97"/>
      <c r="AZ197" s="97"/>
      <c r="BA197" s="97"/>
      <c r="BB197" s="97"/>
      <c r="BC197" s="97"/>
      <c r="BD197" s="97"/>
      <c r="BE197" s="97"/>
    </row>
    <row r="198" s="115" customFormat="1" customHeight="1" spans="1:57">
      <c r="A198" s="115" t="s">
        <v>3883</v>
      </c>
      <c r="B198" s="111" t="s">
        <v>3884</v>
      </c>
      <c r="C198" s="554" t="s">
        <v>3885</v>
      </c>
      <c r="D198" s="121"/>
      <c r="E198" s="266">
        <v>18639366316</v>
      </c>
      <c r="F198" s="267">
        <v>4</v>
      </c>
      <c r="G198" s="268">
        <v>4481</v>
      </c>
      <c r="H198" s="268">
        <v>21.86</v>
      </c>
      <c r="I198" s="274" t="s">
        <v>2665</v>
      </c>
      <c r="J198" s="113" t="s">
        <v>3886</v>
      </c>
      <c r="K198" s="266">
        <v>22.45</v>
      </c>
      <c r="L198" s="266" t="s">
        <v>2711</v>
      </c>
      <c r="M198" s="275" t="s">
        <v>2814</v>
      </c>
      <c r="N198" s="113" t="s">
        <v>56</v>
      </c>
      <c r="O198" s="113"/>
      <c r="P198" s="113"/>
      <c r="Q198" s="113">
        <v>20173.94</v>
      </c>
      <c r="R198" s="113">
        <v>441002</v>
      </c>
      <c r="S198" s="280">
        <v>441002</v>
      </c>
      <c r="T198" s="281">
        <f t="shared" si="63"/>
        <v>0</v>
      </c>
      <c r="U198" s="280"/>
      <c r="V198" s="280">
        <v>1420</v>
      </c>
      <c r="W198" s="280">
        <v>550</v>
      </c>
      <c r="X198" s="280">
        <v>9933</v>
      </c>
      <c r="Y198" s="113" t="s">
        <v>2669</v>
      </c>
      <c r="Z198" s="113" t="s">
        <v>48</v>
      </c>
      <c r="AA198" s="275">
        <v>44019</v>
      </c>
      <c r="AB198" s="113"/>
      <c r="AC198" s="113"/>
      <c r="AD198" s="113"/>
      <c r="AE198" s="133"/>
      <c r="AF198" s="115" t="s">
        <v>123</v>
      </c>
      <c r="AG198" s="133"/>
      <c r="AH198" s="133"/>
      <c r="AI198" s="132">
        <f t="shared" si="64"/>
        <v>452905</v>
      </c>
      <c r="AJ198" s="132">
        <f t="shared" si="65"/>
        <v>452905</v>
      </c>
      <c r="AK198" s="133">
        <f t="shared" si="66"/>
        <v>0</v>
      </c>
      <c r="AL198" s="132"/>
      <c r="AM198" s="133"/>
      <c r="AN198" s="246">
        <v>44841</v>
      </c>
      <c r="AO198" s="137"/>
      <c r="AP198" s="97"/>
      <c r="AQ198" s="97"/>
      <c r="AR198" s="97"/>
      <c r="AS198" s="97"/>
      <c r="AT198" s="97"/>
      <c r="AU198" s="97"/>
      <c r="AV198" s="97"/>
      <c r="AW198" s="97"/>
      <c r="AX198" s="97"/>
      <c r="AY198" s="97"/>
      <c r="AZ198" s="97"/>
      <c r="BA198" s="97"/>
      <c r="BB198" s="97"/>
      <c r="BC198" s="97"/>
      <c r="BD198" s="97"/>
      <c r="BE198" s="97"/>
    </row>
    <row r="199" s="115" customFormat="1" customHeight="1" spans="1:57">
      <c r="A199" s="115" t="s">
        <v>3887</v>
      </c>
      <c r="B199" s="111" t="s">
        <v>3888</v>
      </c>
      <c r="C199" s="554" t="s">
        <v>3889</v>
      </c>
      <c r="D199" s="121" t="s">
        <v>3890</v>
      </c>
      <c r="E199" s="266">
        <v>13838508475</v>
      </c>
      <c r="F199" s="267">
        <v>1</v>
      </c>
      <c r="G199" s="268">
        <v>1566</v>
      </c>
      <c r="H199" s="268">
        <v>24.91</v>
      </c>
      <c r="I199" s="274" t="s">
        <v>2657</v>
      </c>
      <c r="J199" s="113" t="s">
        <v>3891</v>
      </c>
      <c r="K199" s="266">
        <v>22.29</v>
      </c>
      <c r="L199" s="266" t="s">
        <v>3892</v>
      </c>
      <c r="M199" s="275" t="s">
        <v>2834</v>
      </c>
      <c r="N199" s="113" t="s">
        <v>66</v>
      </c>
      <c r="O199" s="113"/>
      <c r="P199" s="113"/>
      <c r="Q199" s="113">
        <v>48119.74</v>
      </c>
      <c r="R199" s="113">
        <v>1072589</v>
      </c>
      <c r="S199" s="280">
        <v>542589</v>
      </c>
      <c r="T199" s="281">
        <f t="shared" si="63"/>
        <v>530000</v>
      </c>
      <c r="U199" s="280"/>
      <c r="V199" s="280"/>
      <c r="W199" s="280"/>
      <c r="X199" s="280"/>
      <c r="Y199" s="113"/>
      <c r="Z199" s="113"/>
      <c r="AA199" s="275"/>
      <c r="AB199" s="113"/>
      <c r="AC199" s="113"/>
      <c r="AD199" s="113"/>
      <c r="AE199" s="133"/>
      <c r="AG199" s="133"/>
      <c r="AH199" s="133"/>
      <c r="AI199" s="132">
        <f t="shared" si="64"/>
        <v>542589</v>
      </c>
      <c r="AJ199" s="132">
        <f t="shared" si="65"/>
        <v>542589</v>
      </c>
      <c r="AK199" s="133">
        <f t="shared" si="66"/>
        <v>0</v>
      </c>
      <c r="AL199" s="132"/>
      <c r="AM199" s="133"/>
      <c r="AN199" s="246">
        <v>44841</v>
      </c>
      <c r="AO199" s="137"/>
      <c r="AP199" s="97"/>
      <c r="AQ199" s="97"/>
      <c r="AR199" s="97"/>
      <c r="AS199" s="97"/>
      <c r="AT199" s="97"/>
      <c r="AU199" s="97"/>
      <c r="AV199" s="97"/>
      <c r="AW199" s="97"/>
      <c r="AX199" s="97"/>
      <c r="AY199" s="97"/>
      <c r="AZ199" s="97"/>
      <c r="BA199" s="97"/>
      <c r="BB199" s="97"/>
      <c r="BC199" s="97"/>
      <c r="BD199" s="97"/>
      <c r="BE199" s="97"/>
    </row>
    <row r="200" s="115" customFormat="1" customHeight="1" spans="1:57">
      <c r="A200" s="115" t="s">
        <v>3893</v>
      </c>
      <c r="B200" s="111" t="s">
        <v>3894</v>
      </c>
      <c r="C200" s="111" t="s">
        <v>3895</v>
      </c>
      <c r="D200" s="121" t="s">
        <v>3896</v>
      </c>
      <c r="E200" s="266" t="s">
        <v>3897</v>
      </c>
      <c r="F200" s="267">
        <v>3</v>
      </c>
      <c r="G200" s="268">
        <v>3282</v>
      </c>
      <c r="H200" s="268">
        <v>23.85</v>
      </c>
      <c r="I200" s="274" t="s">
        <v>2665</v>
      </c>
      <c r="J200" s="113" t="s">
        <v>3898</v>
      </c>
      <c r="K200" s="266">
        <v>21.75</v>
      </c>
      <c r="L200" s="266" t="s">
        <v>3899</v>
      </c>
      <c r="M200" s="275" t="s">
        <v>3899</v>
      </c>
      <c r="N200" s="113" t="s">
        <v>66</v>
      </c>
      <c r="O200" s="113"/>
      <c r="P200" s="113"/>
      <c r="Q200" s="113">
        <v>31624.97</v>
      </c>
      <c r="R200" s="113">
        <v>687843</v>
      </c>
      <c r="S200" s="280">
        <v>347843</v>
      </c>
      <c r="T200" s="281">
        <f t="shared" si="63"/>
        <v>340000</v>
      </c>
      <c r="U200" s="280"/>
      <c r="V200" s="280"/>
      <c r="W200" s="280"/>
      <c r="X200" s="280"/>
      <c r="Y200" s="113"/>
      <c r="Z200" s="113"/>
      <c r="AA200" s="275"/>
      <c r="AB200" s="113"/>
      <c r="AC200" s="113"/>
      <c r="AD200" s="113"/>
      <c r="AE200" s="133"/>
      <c r="AF200" s="115" t="s">
        <v>123</v>
      </c>
      <c r="AG200" s="133"/>
      <c r="AH200" s="133"/>
      <c r="AI200" s="132">
        <f t="shared" si="64"/>
        <v>347843</v>
      </c>
      <c r="AJ200" s="132">
        <f t="shared" si="65"/>
        <v>347843</v>
      </c>
      <c r="AK200" s="133">
        <f t="shared" si="66"/>
        <v>0</v>
      </c>
      <c r="AL200" s="132"/>
      <c r="AM200" s="133"/>
      <c r="AN200" s="246">
        <v>44841</v>
      </c>
      <c r="AO200" s="137"/>
      <c r="AP200" s="97"/>
      <c r="AQ200" s="97"/>
      <c r="AR200" s="97"/>
      <c r="AS200" s="97"/>
      <c r="AT200" s="97"/>
      <c r="AU200" s="97"/>
      <c r="AV200" s="97"/>
      <c r="AW200" s="97"/>
      <c r="AX200" s="97"/>
      <c r="AY200" s="97"/>
      <c r="AZ200" s="97"/>
      <c r="BA200" s="97"/>
      <c r="BB200" s="97"/>
      <c r="BC200" s="97"/>
      <c r="BD200" s="97"/>
      <c r="BE200" s="97"/>
    </row>
    <row r="201" s="115" customFormat="1" customHeight="1" spans="1:57">
      <c r="A201" s="115" t="s">
        <v>3900</v>
      </c>
      <c r="B201" s="111" t="s">
        <v>3901</v>
      </c>
      <c r="C201" s="554" t="s">
        <v>3902</v>
      </c>
      <c r="D201" s="121" t="s">
        <v>3903</v>
      </c>
      <c r="E201" s="266">
        <v>15981807758</v>
      </c>
      <c r="F201" s="267">
        <v>3</v>
      </c>
      <c r="G201" s="268">
        <v>3237</v>
      </c>
      <c r="H201" s="268">
        <v>12.21</v>
      </c>
      <c r="I201" s="274" t="s">
        <v>2657</v>
      </c>
      <c r="J201" s="113" t="s">
        <v>3904</v>
      </c>
      <c r="K201" s="266">
        <v>10.99</v>
      </c>
      <c r="L201" s="266" t="s">
        <v>2960</v>
      </c>
      <c r="M201" s="275" t="s">
        <v>3905</v>
      </c>
      <c r="N201" s="113" t="s">
        <v>56</v>
      </c>
      <c r="O201" s="113"/>
      <c r="P201" s="113"/>
      <c r="Q201" s="113">
        <v>31112.83</v>
      </c>
      <c r="R201" s="113">
        <v>379888</v>
      </c>
      <c r="S201" s="280">
        <v>379888</v>
      </c>
      <c r="T201" s="281">
        <f t="shared" si="63"/>
        <v>0</v>
      </c>
      <c r="U201" s="280"/>
      <c r="V201" s="280">
        <v>793</v>
      </c>
      <c r="W201" s="280">
        <v>550</v>
      </c>
      <c r="X201" s="280"/>
      <c r="Y201" s="113" t="s">
        <v>2669</v>
      </c>
      <c r="Z201" s="113"/>
      <c r="AA201" s="275"/>
      <c r="AB201" s="113"/>
      <c r="AC201" s="113"/>
      <c r="AD201" s="113"/>
      <c r="AE201" s="133"/>
      <c r="AG201" s="133"/>
      <c r="AH201" s="133"/>
      <c r="AI201" s="132">
        <f t="shared" si="64"/>
        <v>381231</v>
      </c>
      <c r="AJ201" s="132">
        <f t="shared" si="65"/>
        <v>381231</v>
      </c>
      <c r="AK201" s="133">
        <f t="shared" si="66"/>
        <v>0</v>
      </c>
      <c r="AL201" s="132"/>
      <c r="AM201" s="133"/>
      <c r="AN201" s="246">
        <v>44841</v>
      </c>
      <c r="AO201" s="137"/>
      <c r="AP201" s="97"/>
      <c r="AQ201" s="97"/>
      <c r="AR201" s="97"/>
      <c r="AS201" s="97"/>
      <c r="AT201" s="97"/>
      <c r="AU201" s="97"/>
      <c r="AV201" s="97"/>
      <c r="AW201" s="97"/>
      <c r="AX201" s="97"/>
      <c r="AY201" s="97"/>
      <c r="AZ201" s="97"/>
      <c r="BA201" s="97"/>
      <c r="BB201" s="97"/>
      <c r="BC201" s="97"/>
      <c r="BD201" s="97"/>
      <c r="BE201" s="97"/>
    </row>
    <row r="202" s="115" customFormat="1" customHeight="1" spans="1:57">
      <c r="A202" s="115" t="s">
        <v>3906</v>
      </c>
      <c r="B202" s="111" t="s">
        <v>3907</v>
      </c>
      <c r="C202" s="111" t="s">
        <v>3908</v>
      </c>
      <c r="D202" s="121" t="s">
        <v>3909</v>
      </c>
      <c r="E202" s="266">
        <v>13937105908</v>
      </c>
      <c r="F202" s="267">
        <v>3</v>
      </c>
      <c r="G202" s="268">
        <v>339</v>
      </c>
      <c r="H202" s="268">
        <v>21.02</v>
      </c>
      <c r="I202" s="274" t="s">
        <v>2657</v>
      </c>
      <c r="J202" s="113" t="s">
        <v>3910</v>
      </c>
      <c r="K202" s="266">
        <v>18.85</v>
      </c>
      <c r="L202" s="266" t="s">
        <v>3911</v>
      </c>
      <c r="M202" s="275" t="s">
        <v>2685</v>
      </c>
      <c r="N202" s="113" t="s">
        <v>66</v>
      </c>
      <c r="O202" s="113"/>
      <c r="P202" s="113"/>
      <c r="Q202" s="113">
        <v>31153.38</v>
      </c>
      <c r="R202" s="113">
        <v>654844</v>
      </c>
      <c r="S202" s="280">
        <v>334844</v>
      </c>
      <c r="T202" s="281" t="s">
        <v>47</v>
      </c>
      <c r="U202" s="280">
        <v>320000</v>
      </c>
      <c r="V202" s="280">
        <v>1366</v>
      </c>
      <c r="W202" s="280">
        <v>560</v>
      </c>
      <c r="X202" s="280"/>
      <c r="Y202" s="113" t="s">
        <v>2669</v>
      </c>
      <c r="Z202" s="113" t="s">
        <v>48</v>
      </c>
      <c r="AA202" s="275">
        <v>44024</v>
      </c>
      <c r="AB202" s="113"/>
      <c r="AC202" s="113"/>
      <c r="AD202" s="113"/>
      <c r="AE202" s="133"/>
      <c r="AF202" s="115" t="s">
        <v>123</v>
      </c>
      <c r="AG202" s="133"/>
      <c r="AH202" s="133"/>
      <c r="AI202" s="132">
        <f t="shared" si="64"/>
        <v>656770</v>
      </c>
      <c r="AJ202" s="132">
        <f t="shared" si="65"/>
        <v>656770</v>
      </c>
      <c r="AK202" s="133">
        <f t="shared" si="66"/>
        <v>0</v>
      </c>
      <c r="AL202" s="132"/>
      <c r="AM202" s="133"/>
      <c r="AN202" s="246">
        <v>44841</v>
      </c>
      <c r="AO202" s="137"/>
      <c r="AP202" s="97"/>
      <c r="AQ202" s="97"/>
      <c r="AR202" s="97"/>
      <c r="AS202" s="97"/>
      <c r="AT202" s="97"/>
      <c r="AU202" s="97"/>
      <c r="AV202" s="97"/>
      <c r="AW202" s="97"/>
      <c r="AX202" s="97"/>
      <c r="AY202" s="97"/>
      <c r="AZ202" s="97"/>
      <c r="BA202" s="97"/>
      <c r="BB202" s="97"/>
      <c r="BC202" s="97"/>
      <c r="BD202" s="97"/>
      <c r="BE202" s="97"/>
    </row>
    <row r="203" s="115" customFormat="1" customHeight="1" spans="1:57">
      <c r="A203" s="115" t="s">
        <v>3912</v>
      </c>
      <c r="B203" s="111" t="s">
        <v>3913</v>
      </c>
      <c r="C203" s="111" t="s">
        <v>3914</v>
      </c>
      <c r="D203" s="121" t="s">
        <v>3915</v>
      </c>
      <c r="E203" s="266" t="s">
        <v>3916</v>
      </c>
      <c r="F203" s="267">
        <v>4</v>
      </c>
      <c r="G203" s="268">
        <v>4133</v>
      </c>
      <c r="H203" s="268">
        <v>31.56</v>
      </c>
      <c r="I203" s="274" t="s">
        <v>2665</v>
      </c>
      <c r="J203" s="113" t="s">
        <v>3917</v>
      </c>
      <c r="K203" s="266">
        <v>31.53</v>
      </c>
      <c r="L203" s="266" t="s">
        <v>3918</v>
      </c>
      <c r="M203" s="275" t="s">
        <v>3919</v>
      </c>
      <c r="N203" s="113" t="s">
        <v>56</v>
      </c>
      <c r="O203" s="113"/>
      <c r="P203" s="113"/>
      <c r="Q203" s="113">
        <v>25372.66</v>
      </c>
      <c r="R203" s="113">
        <v>800761</v>
      </c>
      <c r="S203" s="280">
        <v>800761</v>
      </c>
      <c r="T203" s="281">
        <f t="shared" ref="T203:T213" si="67">R203-S203</f>
        <v>0</v>
      </c>
      <c r="U203" s="280"/>
      <c r="V203" s="280">
        <v>2051</v>
      </c>
      <c r="W203" s="280">
        <v>550</v>
      </c>
      <c r="X203" s="280"/>
      <c r="Y203" s="113" t="s">
        <v>2669</v>
      </c>
      <c r="Z203" s="113" t="s">
        <v>48</v>
      </c>
      <c r="AA203" s="275">
        <v>44191</v>
      </c>
      <c r="AB203" s="113"/>
      <c r="AC203" s="113"/>
      <c r="AD203" s="113"/>
      <c r="AE203" s="133"/>
      <c r="AG203" s="133"/>
      <c r="AH203" s="133"/>
      <c r="AI203" s="132">
        <f t="shared" si="64"/>
        <v>803362</v>
      </c>
      <c r="AJ203" s="132">
        <f t="shared" si="65"/>
        <v>803362</v>
      </c>
      <c r="AK203" s="133">
        <f t="shared" si="66"/>
        <v>0</v>
      </c>
      <c r="AL203" s="132"/>
      <c r="AM203" s="133"/>
      <c r="AN203" s="246">
        <v>44841</v>
      </c>
      <c r="AO203" s="137"/>
      <c r="AP203" s="97"/>
      <c r="AQ203" s="97"/>
      <c r="AR203" s="97"/>
      <c r="AS203" s="97"/>
      <c r="AT203" s="97"/>
      <c r="AU203" s="97"/>
      <c r="AV203" s="97"/>
      <c r="AW203" s="97"/>
      <c r="AX203" s="97"/>
      <c r="AY203" s="97"/>
      <c r="AZ203" s="97"/>
      <c r="BA203" s="97"/>
      <c r="BB203" s="97"/>
      <c r="BC203" s="97"/>
      <c r="BD203" s="97"/>
      <c r="BE203" s="97"/>
    </row>
    <row r="204" s="115" customFormat="1" customHeight="1" spans="1:57">
      <c r="A204" s="115" t="s">
        <v>3920</v>
      </c>
      <c r="B204" s="111" t="s">
        <v>3921</v>
      </c>
      <c r="C204" s="111" t="s">
        <v>3922</v>
      </c>
      <c r="D204" s="121" t="s">
        <v>3923</v>
      </c>
      <c r="E204" s="266">
        <v>15981876049</v>
      </c>
      <c r="F204" s="267">
        <v>4</v>
      </c>
      <c r="G204" s="268">
        <v>4245</v>
      </c>
      <c r="H204" s="268">
        <v>15.37</v>
      </c>
      <c r="I204" s="274" t="s">
        <v>2657</v>
      </c>
      <c r="J204" s="113" t="s">
        <v>3924</v>
      </c>
      <c r="K204" s="266">
        <v>13.51</v>
      </c>
      <c r="L204" s="266" t="s">
        <v>3258</v>
      </c>
      <c r="M204" s="275" t="s">
        <v>3258</v>
      </c>
      <c r="N204" s="113" t="s">
        <v>66</v>
      </c>
      <c r="O204" s="113"/>
      <c r="P204" s="113"/>
      <c r="Q204" s="113">
        <v>27636.49</v>
      </c>
      <c r="R204" s="113">
        <v>373369</v>
      </c>
      <c r="S204" s="280">
        <v>193369</v>
      </c>
      <c r="T204" s="281">
        <f t="shared" si="67"/>
        <v>180000</v>
      </c>
      <c r="U204" s="280"/>
      <c r="V204" s="280"/>
      <c r="W204" s="280"/>
      <c r="X204" s="280"/>
      <c r="Y204" s="113"/>
      <c r="Z204" s="113"/>
      <c r="AA204" s="275"/>
      <c r="AB204" s="113" t="s">
        <v>3925</v>
      </c>
      <c r="AC204" s="113"/>
      <c r="AD204" s="113"/>
      <c r="AE204" s="133"/>
      <c r="AF204" s="115" t="s">
        <v>3926</v>
      </c>
      <c r="AG204" s="133"/>
      <c r="AH204" s="133"/>
      <c r="AI204" s="132">
        <f t="shared" si="64"/>
        <v>193369</v>
      </c>
      <c r="AJ204" s="132">
        <f t="shared" si="65"/>
        <v>193369</v>
      </c>
      <c r="AK204" s="133">
        <f t="shared" si="66"/>
        <v>0</v>
      </c>
      <c r="AL204" s="132"/>
      <c r="AM204" s="133"/>
      <c r="AN204" s="246">
        <v>44841</v>
      </c>
      <c r="AO204" s="137"/>
      <c r="AP204" s="97"/>
      <c r="AQ204" s="97"/>
      <c r="AR204" s="97"/>
      <c r="AS204" s="97"/>
      <c r="AT204" s="97"/>
      <c r="AU204" s="97"/>
      <c r="AV204" s="97"/>
      <c r="AW204" s="97"/>
      <c r="AX204" s="97"/>
      <c r="AY204" s="97"/>
      <c r="AZ204" s="97"/>
      <c r="BA204" s="97"/>
      <c r="BB204" s="97"/>
      <c r="BC204" s="97"/>
      <c r="BD204" s="97"/>
      <c r="BE204" s="97"/>
    </row>
    <row r="205" s="115" customFormat="1" customHeight="1" spans="1:57">
      <c r="A205" s="115" t="s">
        <v>3927</v>
      </c>
      <c r="B205" s="111" t="s">
        <v>3928</v>
      </c>
      <c r="C205" s="111" t="s">
        <v>3929</v>
      </c>
      <c r="D205" s="121" t="s">
        <v>3930</v>
      </c>
      <c r="E205" s="266">
        <v>18666025680</v>
      </c>
      <c r="F205" s="267">
        <v>3</v>
      </c>
      <c r="G205" s="268">
        <v>3788</v>
      </c>
      <c r="H205" s="268">
        <v>15.4</v>
      </c>
      <c r="I205" s="274" t="s">
        <v>2657</v>
      </c>
      <c r="J205" s="113" t="s">
        <v>3931</v>
      </c>
      <c r="K205" s="266">
        <v>16.13</v>
      </c>
      <c r="L205" s="266" t="s">
        <v>3932</v>
      </c>
      <c r="M205" s="275" t="s">
        <v>3933</v>
      </c>
      <c r="N205" s="113" t="s">
        <v>56</v>
      </c>
      <c r="O205" s="113"/>
      <c r="P205" s="113"/>
      <c r="Q205" s="113">
        <v>31804.09</v>
      </c>
      <c r="R205" s="113">
        <v>489783</v>
      </c>
      <c r="S205" s="280">
        <v>489783</v>
      </c>
      <c r="T205" s="281">
        <f t="shared" si="67"/>
        <v>0</v>
      </c>
      <c r="U205" s="280"/>
      <c r="V205" s="280">
        <v>1001</v>
      </c>
      <c r="W205" s="280">
        <v>550</v>
      </c>
      <c r="X205" s="280"/>
      <c r="Y205" s="113" t="s">
        <v>2669</v>
      </c>
      <c r="Z205" s="113"/>
      <c r="AA205" s="275"/>
      <c r="AB205" s="113"/>
      <c r="AC205" s="113"/>
      <c r="AD205" s="113"/>
      <c r="AE205" s="133"/>
      <c r="AG205" s="133"/>
      <c r="AH205" s="133"/>
      <c r="AI205" s="132">
        <f t="shared" si="64"/>
        <v>491334</v>
      </c>
      <c r="AJ205" s="132">
        <f t="shared" si="65"/>
        <v>491334</v>
      </c>
      <c r="AK205" s="133">
        <f t="shared" si="66"/>
        <v>0</v>
      </c>
      <c r="AL205" s="132"/>
      <c r="AM205" s="133"/>
      <c r="AN205" s="246">
        <v>44841</v>
      </c>
      <c r="AO205" s="137"/>
      <c r="AP205" s="97"/>
      <c r="AQ205" s="97"/>
      <c r="AR205" s="97"/>
      <c r="AS205" s="97"/>
      <c r="AT205" s="97"/>
      <c r="AU205" s="97"/>
      <c r="AV205" s="97"/>
      <c r="AW205" s="97"/>
      <c r="AX205" s="97"/>
      <c r="AY205" s="97"/>
      <c r="AZ205" s="97"/>
      <c r="BA205" s="97"/>
      <c r="BB205" s="97"/>
      <c r="BC205" s="97"/>
      <c r="BD205" s="97"/>
      <c r="BE205" s="97"/>
    </row>
    <row r="206" s="115" customFormat="1" customHeight="1" spans="1:57">
      <c r="A206" s="115" t="s">
        <v>3934</v>
      </c>
      <c r="B206" s="111" t="s">
        <v>3928</v>
      </c>
      <c r="C206" s="554" t="s">
        <v>3929</v>
      </c>
      <c r="D206" s="121" t="s">
        <v>3935</v>
      </c>
      <c r="E206" s="266">
        <v>18666025680</v>
      </c>
      <c r="F206" s="267">
        <v>4</v>
      </c>
      <c r="G206" s="268">
        <v>4186</v>
      </c>
      <c r="H206" s="268">
        <v>12.55</v>
      </c>
      <c r="I206" s="274" t="s">
        <v>2657</v>
      </c>
      <c r="J206" s="113" t="s">
        <v>3936</v>
      </c>
      <c r="K206" s="266">
        <v>9.93</v>
      </c>
      <c r="L206" s="266" t="s">
        <v>2691</v>
      </c>
      <c r="M206" s="275" t="s">
        <v>3933</v>
      </c>
      <c r="N206" s="113" t="s">
        <v>56</v>
      </c>
      <c r="O206" s="113"/>
      <c r="P206" s="113"/>
      <c r="Q206" s="113">
        <v>27278.55</v>
      </c>
      <c r="R206" s="113">
        <v>342346</v>
      </c>
      <c r="S206" s="280">
        <v>342346</v>
      </c>
      <c r="T206" s="281">
        <f t="shared" si="67"/>
        <v>0</v>
      </c>
      <c r="U206" s="280"/>
      <c r="V206" s="280">
        <v>815</v>
      </c>
      <c r="W206" s="280">
        <v>550</v>
      </c>
      <c r="X206" s="280"/>
      <c r="Y206" s="113" t="s">
        <v>2669</v>
      </c>
      <c r="Z206" s="113"/>
      <c r="AA206" s="275"/>
      <c r="AB206" s="113"/>
      <c r="AC206" s="113"/>
      <c r="AD206" s="113"/>
      <c r="AE206" s="133"/>
      <c r="AG206" s="133"/>
      <c r="AH206" s="133"/>
      <c r="AI206" s="132">
        <f t="shared" si="64"/>
        <v>343711</v>
      </c>
      <c r="AJ206" s="132">
        <f t="shared" si="65"/>
        <v>343711</v>
      </c>
      <c r="AK206" s="133">
        <f t="shared" si="66"/>
        <v>0</v>
      </c>
      <c r="AL206" s="132"/>
      <c r="AM206" s="133"/>
      <c r="AN206" s="246">
        <v>44841</v>
      </c>
      <c r="AO206" s="137"/>
      <c r="AP206" s="97"/>
      <c r="AQ206" s="97"/>
      <c r="AR206" s="97"/>
      <c r="AS206" s="97"/>
      <c r="AT206" s="97"/>
      <c r="AU206" s="97"/>
      <c r="AV206" s="97"/>
      <c r="AW206" s="97"/>
      <c r="AX206" s="97"/>
      <c r="AY206" s="97"/>
      <c r="AZ206" s="97"/>
      <c r="BA206" s="97"/>
      <c r="BB206" s="97"/>
      <c r="BC206" s="97"/>
      <c r="BD206" s="97"/>
      <c r="BE206" s="97"/>
    </row>
    <row r="207" s="115" customFormat="1" customHeight="1" spans="1:57">
      <c r="A207" s="115" t="s">
        <v>3937</v>
      </c>
      <c r="B207" s="111" t="s">
        <v>3938</v>
      </c>
      <c r="C207" s="554" t="s">
        <v>3939</v>
      </c>
      <c r="D207" s="121" t="s">
        <v>3940</v>
      </c>
      <c r="E207" s="266">
        <v>13607642840</v>
      </c>
      <c r="F207" s="267">
        <v>2</v>
      </c>
      <c r="G207" s="268">
        <v>254</v>
      </c>
      <c r="H207" s="268">
        <v>22.26</v>
      </c>
      <c r="I207" s="274" t="s">
        <v>2665</v>
      </c>
      <c r="J207" s="113" t="s">
        <v>3941</v>
      </c>
      <c r="K207" s="266">
        <v>20.8</v>
      </c>
      <c r="L207" s="266" t="s">
        <v>2711</v>
      </c>
      <c r="M207" s="275" t="s">
        <v>3401</v>
      </c>
      <c r="N207" s="113" t="s">
        <v>56</v>
      </c>
      <c r="O207" s="113"/>
      <c r="P207" s="113"/>
      <c r="Q207" s="113">
        <v>28426.78</v>
      </c>
      <c r="R207" s="113">
        <v>591277</v>
      </c>
      <c r="S207" s="280">
        <v>591277</v>
      </c>
      <c r="T207" s="281">
        <f t="shared" si="67"/>
        <v>0</v>
      </c>
      <c r="U207" s="280"/>
      <c r="V207" s="280"/>
      <c r="W207" s="280"/>
      <c r="X207" s="280"/>
      <c r="Y207" s="113"/>
      <c r="Z207" s="113"/>
      <c r="AA207" s="275"/>
      <c r="AB207" s="113"/>
      <c r="AC207" s="113"/>
      <c r="AD207" s="113"/>
      <c r="AE207" s="133"/>
      <c r="AG207" s="133"/>
      <c r="AH207" s="133"/>
      <c r="AI207" s="132">
        <f t="shared" si="64"/>
        <v>591277</v>
      </c>
      <c r="AJ207" s="132">
        <f t="shared" si="65"/>
        <v>591277</v>
      </c>
      <c r="AK207" s="133">
        <f t="shared" si="66"/>
        <v>0</v>
      </c>
      <c r="AL207" s="132"/>
      <c r="AM207" s="133"/>
      <c r="AN207" s="246">
        <v>44841</v>
      </c>
      <c r="AO207" s="137"/>
      <c r="AP207" s="97"/>
      <c r="AQ207" s="97"/>
      <c r="AR207" s="97"/>
      <c r="AS207" s="97"/>
      <c r="AT207" s="97"/>
      <c r="AU207" s="97"/>
      <c r="AV207" s="97"/>
      <c r="AW207" s="97"/>
      <c r="AX207" s="97"/>
      <c r="AY207" s="97"/>
      <c r="AZ207" s="97"/>
      <c r="BA207" s="97"/>
      <c r="BB207" s="97"/>
      <c r="BC207" s="97"/>
      <c r="BD207" s="97"/>
      <c r="BE207" s="97"/>
    </row>
    <row r="208" s="115" customFormat="1" customHeight="1" spans="1:57">
      <c r="A208" s="115" t="s">
        <v>3942</v>
      </c>
      <c r="B208" s="111" t="s">
        <v>3943</v>
      </c>
      <c r="C208" s="111" t="s">
        <v>3944</v>
      </c>
      <c r="D208" s="121" t="s">
        <v>3945</v>
      </c>
      <c r="E208" s="266">
        <v>13525515286</v>
      </c>
      <c r="F208" s="267">
        <v>1</v>
      </c>
      <c r="G208" s="268">
        <v>1635</v>
      </c>
      <c r="H208" s="268">
        <v>16.9</v>
      </c>
      <c r="I208" s="274" t="s">
        <v>2657</v>
      </c>
      <c r="J208" s="113" t="s">
        <v>3946</v>
      </c>
      <c r="K208" s="266">
        <v>17.27</v>
      </c>
      <c r="L208" s="266" t="s">
        <v>2890</v>
      </c>
      <c r="M208" s="275" t="s">
        <v>3911</v>
      </c>
      <c r="N208" s="113" t="s">
        <v>66</v>
      </c>
      <c r="O208" s="113"/>
      <c r="P208" s="113"/>
      <c r="Q208" s="113">
        <v>47730.63</v>
      </c>
      <c r="R208" s="113">
        <v>824308</v>
      </c>
      <c r="S208" s="280">
        <v>414308</v>
      </c>
      <c r="T208" s="281">
        <f t="shared" si="67"/>
        <v>410000</v>
      </c>
      <c r="U208" s="280"/>
      <c r="V208" s="280"/>
      <c r="W208" s="280"/>
      <c r="X208" s="280"/>
      <c r="Y208" s="113"/>
      <c r="Z208" s="113"/>
      <c r="AA208" s="275"/>
      <c r="AB208" s="113"/>
      <c r="AC208" s="113"/>
      <c r="AD208" s="113"/>
      <c r="AE208" s="133"/>
      <c r="AF208" s="115" t="s">
        <v>123</v>
      </c>
      <c r="AG208" s="133"/>
      <c r="AH208" s="133"/>
      <c r="AI208" s="132">
        <f t="shared" si="64"/>
        <v>414308</v>
      </c>
      <c r="AJ208" s="132">
        <f t="shared" si="65"/>
        <v>414308</v>
      </c>
      <c r="AK208" s="133">
        <f t="shared" si="66"/>
        <v>0</v>
      </c>
      <c r="AL208" s="132"/>
      <c r="AM208" s="133"/>
      <c r="AN208" s="246">
        <v>44841</v>
      </c>
      <c r="AO208" s="137"/>
      <c r="AP208" s="97"/>
      <c r="AQ208" s="97"/>
      <c r="AR208" s="97"/>
      <c r="AS208" s="97"/>
      <c r="AT208" s="97"/>
      <c r="AU208" s="97"/>
      <c r="AV208" s="97"/>
      <c r="AW208" s="97"/>
      <c r="AX208" s="97"/>
      <c r="AY208" s="97"/>
      <c r="AZ208" s="97"/>
      <c r="BA208" s="97"/>
      <c r="BB208" s="97"/>
      <c r="BC208" s="97"/>
      <c r="BD208" s="97"/>
      <c r="BE208" s="97"/>
    </row>
    <row r="209" s="115" customFormat="1" customHeight="1" spans="1:57">
      <c r="A209" s="115" t="s">
        <v>3947</v>
      </c>
      <c r="B209" s="111" t="s">
        <v>3943</v>
      </c>
      <c r="C209" s="111" t="s">
        <v>3944</v>
      </c>
      <c r="D209" s="121" t="s">
        <v>3945</v>
      </c>
      <c r="E209" s="266">
        <v>13525515286</v>
      </c>
      <c r="F209" s="267">
        <v>4</v>
      </c>
      <c r="G209" s="268">
        <v>4207</v>
      </c>
      <c r="H209" s="268">
        <v>22.12</v>
      </c>
      <c r="I209" s="274" t="s">
        <v>2657</v>
      </c>
      <c r="J209" s="113" t="s">
        <v>3948</v>
      </c>
      <c r="K209" s="266">
        <v>16.87</v>
      </c>
      <c r="L209" s="266" t="s">
        <v>3911</v>
      </c>
      <c r="M209" s="275" t="s">
        <v>2691</v>
      </c>
      <c r="N209" s="113" t="s">
        <v>66</v>
      </c>
      <c r="O209" s="113"/>
      <c r="P209" s="113"/>
      <c r="Q209" s="113">
        <v>26034.91</v>
      </c>
      <c r="R209" s="113">
        <v>439209</v>
      </c>
      <c r="S209" s="280">
        <v>229209</v>
      </c>
      <c r="T209" s="281">
        <f t="shared" si="67"/>
        <v>210000</v>
      </c>
      <c r="U209" s="280"/>
      <c r="V209" s="280"/>
      <c r="W209" s="280"/>
      <c r="X209" s="280"/>
      <c r="Y209" s="113"/>
      <c r="Z209" s="113"/>
      <c r="AA209" s="275"/>
      <c r="AB209" s="113"/>
      <c r="AC209" s="113"/>
      <c r="AD209" s="113"/>
      <c r="AE209" s="133"/>
      <c r="AF209" s="115" t="s">
        <v>123</v>
      </c>
      <c r="AG209" s="133"/>
      <c r="AH209" s="133"/>
      <c r="AI209" s="132">
        <f t="shared" si="64"/>
        <v>229209</v>
      </c>
      <c r="AJ209" s="132">
        <f t="shared" si="65"/>
        <v>229209</v>
      </c>
      <c r="AK209" s="133">
        <f t="shared" si="66"/>
        <v>0</v>
      </c>
      <c r="AL209" s="132"/>
      <c r="AM209" s="133"/>
      <c r="AN209" s="246">
        <v>44841</v>
      </c>
      <c r="AO209" s="137"/>
      <c r="AP209" s="97"/>
      <c r="AQ209" s="97"/>
      <c r="AR209" s="97"/>
      <c r="AS209" s="97"/>
      <c r="AT209" s="97"/>
      <c r="AU209" s="97"/>
      <c r="AV209" s="97"/>
      <c r="AW209" s="97"/>
      <c r="AX209" s="97"/>
      <c r="AY209" s="97"/>
      <c r="AZ209" s="97"/>
      <c r="BA209" s="97"/>
      <c r="BB209" s="97"/>
      <c r="BC209" s="97"/>
      <c r="BD209" s="97"/>
      <c r="BE209" s="97"/>
    </row>
    <row r="210" s="115" customFormat="1" customHeight="1" spans="1:57">
      <c r="A210" s="115" t="s">
        <v>3949</v>
      </c>
      <c r="B210" s="111" t="s">
        <v>3943</v>
      </c>
      <c r="C210" s="111" t="s">
        <v>3944</v>
      </c>
      <c r="D210" s="121" t="s">
        <v>3945</v>
      </c>
      <c r="E210" s="266">
        <v>13525515286</v>
      </c>
      <c r="F210" s="267">
        <v>3</v>
      </c>
      <c r="G210" s="268">
        <v>3292</v>
      </c>
      <c r="H210" s="268">
        <v>16.1</v>
      </c>
      <c r="I210" s="274" t="s">
        <v>2657</v>
      </c>
      <c r="J210" s="113" t="s">
        <v>3950</v>
      </c>
      <c r="K210" s="266">
        <v>15.67</v>
      </c>
      <c r="L210" s="266" t="s">
        <v>3911</v>
      </c>
      <c r="M210" s="275" t="s">
        <v>2691</v>
      </c>
      <c r="N210" s="113" t="s">
        <v>66</v>
      </c>
      <c r="O210" s="113"/>
      <c r="P210" s="113"/>
      <c r="Q210" s="113">
        <v>30950.86</v>
      </c>
      <c r="R210" s="113">
        <v>485000</v>
      </c>
      <c r="S210" s="280">
        <v>245000</v>
      </c>
      <c r="T210" s="281">
        <f t="shared" si="67"/>
        <v>240000</v>
      </c>
      <c r="U210" s="280"/>
      <c r="V210" s="280"/>
      <c r="W210" s="280"/>
      <c r="X210" s="280"/>
      <c r="Y210" s="113"/>
      <c r="Z210" s="113"/>
      <c r="AA210" s="275"/>
      <c r="AB210" s="113"/>
      <c r="AC210" s="113"/>
      <c r="AD210" s="113"/>
      <c r="AE210" s="133"/>
      <c r="AF210" s="115" t="s">
        <v>123</v>
      </c>
      <c r="AG210" s="133"/>
      <c r="AH210" s="133"/>
      <c r="AI210" s="132">
        <f t="shared" si="64"/>
        <v>245000</v>
      </c>
      <c r="AJ210" s="132">
        <f t="shared" si="65"/>
        <v>245000</v>
      </c>
      <c r="AK210" s="133">
        <f t="shared" si="66"/>
        <v>0</v>
      </c>
      <c r="AL210" s="132"/>
      <c r="AM210" s="133"/>
      <c r="AN210" s="246">
        <v>44841</v>
      </c>
      <c r="AO210" s="137"/>
      <c r="AP210" s="97"/>
      <c r="AQ210" s="97"/>
      <c r="AR210" s="97"/>
      <c r="AS210" s="97"/>
      <c r="AT210" s="97"/>
      <c r="AU210" s="97"/>
      <c r="AV210" s="97"/>
      <c r="AW210" s="97"/>
      <c r="AX210" s="97"/>
      <c r="AY210" s="97"/>
      <c r="AZ210" s="97"/>
      <c r="BA210" s="97"/>
      <c r="BB210" s="97"/>
      <c r="BC210" s="97"/>
      <c r="BD210" s="97"/>
      <c r="BE210" s="97"/>
    </row>
    <row r="211" s="115" customFormat="1" customHeight="1" spans="1:57">
      <c r="A211" s="115" t="s">
        <v>3951</v>
      </c>
      <c r="B211" s="111" t="s">
        <v>3952</v>
      </c>
      <c r="C211" s="111" t="s">
        <v>3953</v>
      </c>
      <c r="D211" s="121" t="s">
        <v>3954</v>
      </c>
      <c r="E211" s="266">
        <v>15617688851</v>
      </c>
      <c r="F211" s="267">
        <v>3</v>
      </c>
      <c r="G211" s="268">
        <v>3223</v>
      </c>
      <c r="H211" s="268">
        <v>25.73</v>
      </c>
      <c r="I211" s="274" t="s">
        <v>2657</v>
      </c>
      <c r="J211" s="113" t="s">
        <v>3955</v>
      </c>
      <c r="K211" s="266">
        <v>26.34</v>
      </c>
      <c r="L211" s="266" t="s">
        <v>3956</v>
      </c>
      <c r="M211" s="275" t="s">
        <v>3957</v>
      </c>
      <c r="N211" s="113" t="s">
        <v>66</v>
      </c>
      <c r="O211" s="113"/>
      <c r="P211" s="113"/>
      <c r="Q211" s="113">
        <v>31691.5</v>
      </c>
      <c r="R211" s="113">
        <v>815422</v>
      </c>
      <c r="S211" s="280">
        <v>425422</v>
      </c>
      <c r="T211" s="281">
        <f t="shared" si="67"/>
        <v>390000</v>
      </c>
      <c r="U211" s="280"/>
      <c r="V211" s="280">
        <v>1672</v>
      </c>
      <c r="W211" s="280">
        <v>550</v>
      </c>
      <c r="X211" s="280"/>
      <c r="Y211" s="113"/>
      <c r="Z211" s="113"/>
      <c r="AA211" s="275"/>
      <c r="AB211" s="113"/>
      <c r="AC211" s="113"/>
      <c r="AD211" s="113"/>
      <c r="AE211" s="133"/>
      <c r="AG211" s="133"/>
      <c r="AH211" s="133"/>
      <c r="AI211" s="132">
        <f t="shared" si="64"/>
        <v>427644</v>
      </c>
      <c r="AJ211" s="132">
        <f t="shared" si="65"/>
        <v>427644</v>
      </c>
      <c r="AK211" s="133">
        <f t="shared" si="66"/>
        <v>0</v>
      </c>
      <c r="AL211" s="132"/>
      <c r="AM211" s="133"/>
      <c r="AN211" s="246">
        <v>44841</v>
      </c>
      <c r="AO211" s="137"/>
      <c r="AP211" s="97"/>
      <c r="AQ211" s="97"/>
      <c r="AR211" s="97"/>
      <c r="AS211" s="97"/>
      <c r="AT211" s="97"/>
      <c r="AU211" s="97"/>
      <c r="AV211" s="97"/>
      <c r="AW211" s="97"/>
      <c r="AX211" s="97"/>
      <c r="AY211" s="97"/>
      <c r="AZ211" s="97"/>
      <c r="BA211" s="97"/>
      <c r="BB211" s="97"/>
      <c r="BC211" s="97"/>
      <c r="BD211" s="97"/>
      <c r="BE211" s="97"/>
    </row>
    <row r="212" s="115" customFormat="1" customHeight="1" spans="1:57">
      <c r="A212" s="115" t="s">
        <v>3958</v>
      </c>
      <c r="B212" s="111" t="s">
        <v>3959</v>
      </c>
      <c r="C212" s="554" t="s">
        <v>3960</v>
      </c>
      <c r="D212" s="121" t="s">
        <v>3961</v>
      </c>
      <c r="E212" s="266">
        <v>15290933092</v>
      </c>
      <c r="F212" s="267">
        <v>1</v>
      </c>
      <c r="G212" s="268">
        <v>159</v>
      </c>
      <c r="H212" s="268">
        <v>30</v>
      </c>
      <c r="I212" s="274" t="s">
        <v>2657</v>
      </c>
      <c r="J212" s="113" t="s">
        <v>3962</v>
      </c>
      <c r="K212" s="266">
        <v>30.36</v>
      </c>
      <c r="L212" s="266" t="s">
        <v>3963</v>
      </c>
      <c r="M212" s="275" t="s">
        <v>2668</v>
      </c>
      <c r="N212" s="113" t="s">
        <v>56</v>
      </c>
      <c r="O212" s="113"/>
      <c r="P212" s="113"/>
      <c r="Q212" s="113">
        <v>45154.12</v>
      </c>
      <c r="R212" s="113">
        <v>1354624</v>
      </c>
      <c r="S212" s="280">
        <v>1354624</v>
      </c>
      <c r="T212" s="281">
        <f t="shared" si="67"/>
        <v>0</v>
      </c>
      <c r="U212" s="280"/>
      <c r="V212" s="280">
        <v>1950</v>
      </c>
      <c r="W212" s="280">
        <v>550</v>
      </c>
      <c r="X212" s="280">
        <v>13755</v>
      </c>
      <c r="Y212" s="113" t="s">
        <v>2669</v>
      </c>
      <c r="Z212" s="113"/>
      <c r="AA212" s="275"/>
      <c r="AB212" s="113"/>
      <c r="AC212" s="113"/>
      <c r="AD212" s="113"/>
      <c r="AE212" s="133"/>
      <c r="AG212" s="133"/>
      <c r="AH212" s="133"/>
      <c r="AI212" s="132">
        <f t="shared" ref="AI212:AI224" si="68">S212+U212+V212+W212+X212+AC212+AD212+AE212</f>
        <v>1370879</v>
      </c>
      <c r="AJ212" s="132">
        <f t="shared" ref="AJ212:AJ224" si="69">S212+U212+V212+W212+X212</f>
        <v>1370879</v>
      </c>
      <c r="AK212" s="133">
        <f t="shared" ref="AK212:AK224" si="70">AI212-AJ212</f>
        <v>0</v>
      </c>
      <c r="AL212" s="132"/>
      <c r="AM212" s="133"/>
      <c r="AN212" s="246">
        <v>44841</v>
      </c>
      <c r="AO212" s="137"/>
      <c r="AP212" s="97"/>
      <c r="AQ212" s="97"/>
      <c r="AR212" s="97"/>
      <c r="AS212" s="97"/>
      <c r="AT212" s="97"/>
      <c r="AU212" s="97"/>
      <c r="AV212" s="97"/>
      <c r="AW212" s="97"/>
      <c r="AX212" s="97"/>
      <c r="AY212" s="97"/>
      <c r="AZ212" s="97"/>
      <c r="BA212" s="97"/>
      <c r="BB212" s="97"/>
      <c r="BC212" s="97"/>
      <c r="BD212" s="97"/>
      <c r="BE212" s="97"/>
    </row>
    <row r="213" s="115" customFormat="1" customHeight="1" spans="1:57">
      <c r="A213" s="115" t="s">
        <v>3964</v>
      </c>
      <c r="B213" s="111" t="s">
        <v>3965</v>
      </c>
      <c r="C213" s="554" t="s">
        <v>3966</v>
      </c>
      <c r="D213" s="121" t="s">
        <v>3967</v>
      </c>
      <c r="E213" s="266">
        <v>13673515663</v>
      </c>
      <c r="F213" s="267">
        <v>1</v>
      </c>
      <c r="G213" s="268">
        <v>1109</v>
      </c>
      <c r="H213" s="268">
        <v>23.57</v>
      </c>
      <c r="I213" s="274" t="s">
        <v>2665</v>
      </c>
      <c r="J213" s="113" t="s">
        <v>3968</v>
      </c>
      <c r="K213" s="266">
        <v>34.4</v>
      </c>
      <c r="L213" s="266" t="s">
        <v>2711</v>
      </c>
      <c r="M213" s="275" t="s">
        <v>3969</v>
      </c>
      <c r="N213" s="113" t="s">
        <v>66</v>
      </c>
      <c r="O213" s="113"/>
      <c r="P213" s="113"/>
      <c r="Q213" s="113">
        <v>42484.738372093</v>
      </c>
      <c r="R213" s="113">
        <v>1001365</v>
      </c>
      <c r="S213" s="280">
        <v>730365</v>
      </c>
      <c r="T213" s="281">
        <f t="shared" si="67"/>
        <v>271000</v>
      </c>
      <c r="U213" s="280"/>
      <c r="V213" s="280">
        <v>1532</v>
      </c>
      <c r="W213" s="280">
        <v>550</v>
      </c>
      <c r="X213" s="280"/>
      <c r="Y213" s="113" t="s">
        <v>2669</v>
      </c>
      <c r="Z213" s="113"/>
      <c r="AA213" s="275"/>
      <c r="AB213" s="113" t="s">
        <v>3970</v>
      </c>
      <c r="AC213" s="113">
        <v>12471</v>
      </c>
      <c r="AD213" s="113"/>
      <c r="AE213" s="133"/>
      <c r="AG213" s="133"/>
      <c r="AH213" s="133"/>
      <c r="AI213" s="132">
        <f t="shared" si="68"/>
        <v>744918</v>
      </c>
      <c r="AJ213" s="132">
        <f t="shared" si="69"/>
        <v>732447</v>
      </c>
      <c r="AK213" s="133">
        <f t="shared" si="70"/>
        <v>12471</v>
      </c>
      <c r="AL213" s="132"/>
      <c r="AM213" s="133"/>
      <c r="AN213" s="246">
        <v>44841</v>
      </c>
      <c r="AO213" s="137"/>
      <c r="AP213" s="97"/>
      <c r="AQ213" s="97"/>
      <c r="AR213" s="97"/>
      <c r="AS213" s="97"/>
      <c r="AT213" s="97"/>
      <c r="AU213" s="97"/>
      <c r="AV213" s="97"/>
      <c r="AW213" s="97"/>
      <c r="AX213" s="97"/>
      <c r="AY213" s="97"/>
      <c r="AZ213" s="97"/>
      <c r="BA213" s="97"/>
      <c r="BB213" s="97"/>
      <c r="BC213" s="97"/>
      <c r="BD213" s="97"/>
      <c r="BE213" s="97"/>
    </row>
    <row r="214" s="115" customFormat="1" customHeight="1" spans="1:57">
      <c r="A214" s="115" t="s">
        <v>3971</v>
      </c>
      <c r="B214" s="111" t="s">
        <v>3972</v>
      </c>
      <c r="C214" s="111" t="s">
        <v>3973</v>
      </c>
      <c r="D214" s="121" t="s">
        <v>3974</v>
      </c>
      <c r="E214" s="266">
        <v>13838397053</v>
      </c>
      <c r="F214" s="267">
        <v>3</v>
      </c>
      <c r="G214" s="268">
        <v>3577</v>
      </c>
      <c r="H214" s="268">
        <v>9.74</v>
      </c>
      <c r="I214" s="274" t="s">
        <v>2657</v>
      </c>
      <c r="J214" s="113" t="s">
        <v>3975</v>
      </c>
      <c r="K214" s="266">
        <v>10.15</v>
      </c>
      <c r="L214" s="266" t="s">
        <v>3976</v>
      </c>
      <c r="M214" s="275" t="s">
        <v>2763</v>
      </c>
      <c r="N214" s="113" t="s">
        <v>66</v>
      </c>
      <c r="O214" s="113"/>
      <c r="P214" s="113"/>
      <c r="Q214" s="113">
        <v>33687.78</v>
      </c>
      <c r="R214" s="113">
        <v>328119</v>
      </c>
      <c r="S214" s="280">
        <v>178119</v>
      </c>
      <c r="T214" s="281"/>
      <c r="U214" s="280">
        <v>150000</v>
      </c>
      <c r="V214" s="280">
        <v>633</v>
      </c>
      <c r="W214" s="280">
        <v>550</v>
      </c>
      <c r="X214" s="280"/>
      <c r="Y214" s="113" t="s">
        <v>2669</v>
      </c>
      <c r="Z214" s="113" t="s">
        <v>48</v>
      </c>
      <c r="AA214" s="275">
        <v>44020</v>
      </c>
      <c r="AB214" s="113"/>
      <c r="AC214" s="113">
        <v>1235</v>
      </c>
      <c r="AD214" s="113"/>
      <c r="AE214" s="133"/>
      <c r="AG214" s="133"/>
      <c r="AH214" s="133"/>
      <c r="AI214" s="132">
        <f t="shared" si="68"/>
        <v>330537</v>
      </c>
      <c r="AJ214" s="132">
        <f t="shared" si="69"/>
        <v>329302</v>
      </c>
      <c r="AK214" s="133">
        <f t="shared" si="70"/>
        <v>1235</v>
      </c>
      <c r="AL214" s="132"/>
      <c r="AM214" s="133"/>
      <c r="AN214" s="246">
        <v>44841</v>
      </c>
      <c r="AO214" s="137"/>
      <c r="AP214" s="97"/>
      <c r="AQ214" s="97"/>
      <c r="AR214" s="97"/>
      <c r="AS214" s="97"/>
      <c r="AT214" s="97"/>
      <c r="AU214" s="97"/>
      <c r="AV214" s="97"/>
      <c r="AW214" s="97"/>
      <c r="AX214" s="97"/>
      <c r="AY214" s="97"/>
      <c r="AZ214" s="97"/>
      <c r="BA214" s="97"/>
      <c r="BB214" s="97"/>
      <c r="BC214" s="97"/>
      <c r="BD214" s="97"/>
      <c r="BE214" s="97"/>
    </row>
    <row r="215" s="115" customFormat="1" customHeight="1" spans="1:57">
      <c r="A215" s="115" t="s">
        <v>3977</v>
      </c>
      <c r="B215" s="111" t="s">
        <v>3978</v>
      </c>
      <c r="C215" s="554" t="s">
        <v>3979</v>
      </c>
      <c r="D215" s="121" t="s">
        <v>3980</v>
      </c>
      <c r="E215" s="266" t="s">
        <v>3981</v>
      </c>
      <c r="F215" s="267">
        <v>1</v>
      </c>
      <c r="G215" s="268">
        <v>1681</v>
      </c>
      <c r="H215" s="268">
        <v>14.73</v>
      </c>
      <c r="I215" s="274" t="s">
        <v>2657</v>
      </c>
      <c r="J215" s="113" t="s">
        <v>3982</v>
      </c>
      <c r="K215" s="266">
        <v>14.66</v>
      </c>
      <c r="L215" s="266" t="s">
        <v>3956</v>
      </c>
      <c r="M215" s="275" t="s">
        <v>2763</v>
      </c>
      <c r="N215" s="113" t="s">
        <v>66</v>
      </c>
      <c r="O215" s="113"/>
      <c r="P215" s="113"/>
      <c r="Q215" s="113">
        <v>47579.67</v>
      </c>
      <c r="R215" s="113">
        <v>700849</v>
      </c>
      <c r="S215" s="280">
        <v>360849</v>
      </c>
      <c r="T215" s="281"/>
      <c r="U215" s="280">
        <v>340000</v>
      </c>
      <c r="V215" s="280">
        <v>957</v>
      </c>
      <c r="W215" s="280">
        <v>550</v>
      </c>
      <c r="X215" s="280"/>
      <c r="Y215" s="113" t="s">
        <v>2669</v>
      </c>
      <c r="Z215" s="113" t="s">
        <v>48</v>
      </c>
      <c r="AA215" s="275">
        <v>44023</v>
      </c>
      <c r="AB215" s="113"/>
      <c r="AC215" s="113">
        <v>1254</v>
      </c>
      <c r="AD215" s="113"/>
      <c r="AE215" s="133"/>
      <c r="AG215" s="133"/>
      <c r="AH215" s="133"/>
      <c r="AI215" s="132">
        <f t="shared" si="68"/>
        <v>703610</v>
      </c>
      <c r="AJ215" s="132">
        <f t="shared" si="69"/>
        <v>702356</v>
      </c>
      <c r="AK215" s="133">
        <f t="shared" si="70"/>
        <v>1254</v>
      </c>
      <c r="AL215" s="132"/>
      <c r="AM215" s="133"/>
      <c r="AN215" s="246">
        <v>44841</v>
      </c>
      <c r="AO215" s="137"/>
      <c r="AP215" s="97"/>
      <c r="AQ215" s="97"/>
      <c r="AR215" s="97"/>
      <c r="AS215" s="97"/>
      <c r="AT215" s="97"/>
      <c r="AU215" s="97"/>
      <c r="AV215" s="97"/>
      <c r="AW215" s="97"/>
      <c r="AX215" s="97"/>
      <c r="AY215" s="97"/>
      <c r="AZ215" s="97"/>
      <c r="BA215" s="97"/>
      <c r="BB215" s="97"/>
      <c r="BC215" s="97"/>
      <c r="BD215" s="97"/>
      <c r="BE215" s="97"/>
    </row>
    <row r="216" s="115" customFormat="1" customHeight="1" spans="1:57">
      <c r="A216" s="115" t="s">
        <v>3983</v>
      </c>
      <c r="B216" s="111" t="s">
        <v>3984</v>
      </c>
      <c r="C216" s="554" t="s">
        <v>3985</v>
      </c>
      <c r="D216" s="121" t="s">
        <v>3986</v>
      </c>
      <c r="E216" s="266">
        <v>15324982198</v>
      </c>
      <c r="F216" s="267">
        <v>4</v>
      </c>
      <c r="G216" s="268">
        <v>4291</v>
      </c>
      <c r="H216" s="268">
        <v>14.62</v>
      </c>
      <c r="I216" s="274" t="s">
        <v>2657</v>
      </c>
      <c r="J216" s="113" t="s">
        <v>3987</v>
      </c>
      <c r="K216" s="266">
        <v>12.57</v>
      </c>
      <c r="L216" s="266" t="s">
        <v>3988</v>
      </c>
      <c r="M216" s="275" t="s">
        <v>3842</v>
      </c>
      <c r="N216" s="113" t="s">
        <v>66</v>
      </c>
      <c r="O216" s="113"/>
      <c r="P216" s="113"/>
      <c r="Q216" s="113">
        <v>26161.34</v>
      </c>
      <c r="R216" s="113">
        <v>382479</v>
      </c>
      <c r="S216" s="280">
        <v>192479</v>
      </c>
      <c r="T216" s="281">
        <f t="shared" ref="T216:T224" si="71">R216-S216</f>
        <v>190000</v>
      </c>
      <c r="U216" s="280"/>
      <c r="V216" s="280">
        <v>950</v>
      </c>
      <c r="W216" s="280">
        <v>550</v>
      </c>
      <c r="X216" s="280"/>
      <c r="Y216" s="113" t="s">
        <v>2669</v>
      </c>
      <c r="Z216" s="113" t="s">
        <v>48</v>
      </c>
      <c r="AA216" s="275">
        <v>44021</v>
      </c>
      <c r="AB216" s="113"/>
      <c r="AC216" s="113">
        <v>1239</v>
      </c>
      <c r="AD216" s="113"/>
      <c r="AE216" s="133"/>
      <c r="AG216" s="133"/>
      <c r="AH216" s="133"/>
      <c r="AI216" s="132">
        <f t="shared" si="68"/>
        <v>195218</v>
      </c>
      <c r="AJ216" s="132">
        <f t="shared" si="69"/>
        <v>193979</v>
      </c>
      <c r="AK216" s="133">
        <f t="shared" si="70"/>
        <v>1239</v>
      </c>
      <c r="AL216" s="132"/>
      <c r="AM216" s="133"/>
      <c r="AN216" s="246">
        <v>44841</v>
      </c>
      <c r="AO216" s="137"/>
      <c r="AP216" s="97"/>
      <c r="AQ216" s="97"/>
      <c r="AR216" s="97"/>
      <c r="AS216" s="97"/>
      <c r="AT216" s="97"/>
      <c r="AU216" s="97"/>
      <c r="AV216" s="97"/>
      <c r="AW216" s="97"/>
      <c r="AX216" s="97"/>
      <c r="AY216" s="97"/>
      <c r="AZ216" s="97"/>
      <c r="BA216" s="97"/>
      <c r="BB216" s="97"/>
      <c r="BC216" s="97"/>
      <c r="BD216" s="97"/>
      <c r="BE216" s="97"/>
    </row>
    <row r="217" s="115" customFormat="1" customHeight="1" spans="1:57">
      <c r="A217" s="115" t="s">
        <v>3989</v>
      </c>
      <c r="B217" s="111" t="s">
        <v>3990</v>
      </c>
      <c r="C217" s="111" t="s">
        <v>3991</v>
      </c>
      <c r="D217" s="121" t="s">
        <v>3992</v>
      </c>
      <c r="E217" s="266">
        <v>18530061177</v>
      </c>
      <c r="F217" s="267">
        <v>3</v>
      </c>
      <c r="G217" s="268">
        <v>3599</v>
      </c>
      <c r="H217" s="268">
        <v>18.16</v>
      </c>
      <c r="I217" s="274" t="s">
        <v>2657</v>
      </c>
      <c r="J217" s="113" t="s">
        <v>3993</v>
      </c>
      <c r="K217" s="266">
        <v>17.64</v>
      </c>
      <c r="L217" s="266" t="s">
        <v>3073</v>
      </c>
      <c r="M217" s="275" t="s">
        <v>3994</v>
      </c>
      <c r="N217" s="113" t="s">
        <v>56</v>
      </c>
      <c r="O217" s="113"/>
      <c r="P217" s="113"/>
      <c r="Q217" s="113">
        <v>31776.59</v>
      </c>
      <c r="R217" s="113">
        <v>577063</v>
      </c>
      <c r="S217" s="280">
        <v>577063</v>
      </c>
      <c r="T217" s="281">
        <f t="shared" si="71"/>
        <v>0</v>
      </c>
      <c r="U217" s="280"/>
      <c r="V217" s="280">
        <v>1180</v>
      </c>
      <c r="W217" s="280">
        <v>550</v>
      </c>
      <c r="X217" s="280"/>
      <c r="Y217" s="113" t="s">
        <v>2669</v>
      </c>
      <c r="Z217" s="113" t="s">
        <v>48</v>
      </c>
      <c r="AA217" s="275">
        <v>44019</v>
      </c>
      <c r="AB217" s="113"/>
      <c r="AC217" s="113"/>
      <c r="AD217" s="113"/>
      <c r="AE217" s="133"/>
      <c r="AF217" s="115" t="s">
        <v>3075</v>
      </c>
      <c r="AG217" s="133"/>
      <c r="AH217" s="133"/>
      <c r="AI217" s="132">
        <f t="shared" si="68"/>
        <v>578793</v>
      </c>
      <c r="AJ217" s="132">
        <f t="shared" si="69"/>
        <v>578793</v>
      </c>
      <c r="AK217" s="133">
        <f t="shared" si="70"/>
        <v>0</v>
      </c>
      <c r="AL217" s="132"/>
      <c r="AM217" s="133"/>
      <c r="AN217" s="246">
        <v>44841</v>
      </c>
      <c r="AO217" s="137"/>
      <c r="AP217" s="97"/>
      <c r="AQ217" s="97"/>
      <c r="AR217" s="97"/>
      <c r="AS217" s="97"/>
      <c r="AT217" s="97"/>
      <c r="AU217" s="97"/>
      <c r="AV217" s="97"/>
      <c r="AW217" s="97"/>
      <c r="AX217" s="97"/>
      <c r="AY217" s="97"/>
      <c r="AZ217" s="97"/>
      <c r="BA217" s="97"/>
      <c r="BB217" s="97"/>
      <c r="BC217" s="97"/>
      <c r="BD217" s="97"/>
      <c r="BE217" s="97"/>
    </row>
    <row r="218" s="115" customFormat="1" customHeight="1" spans="1:57">
      <c r="A218" s="115" t="s">
        <v>3995</v>
      </c>
      <c r="B218" s="111" t="s">
        <v>3996</v>
      </c>
      <c r="C218" s="111" t="s">
        <v>3997</v>
      </c>
      <c r="D218" s="121" t="s">
        <v>3998</v>
      </c>
      <c r="E218" s="266">
        <v>18637506389</v>
      </c>
      <c r="F218" s="267">
        <v>3</v>
      </c>
      <c r="G218" s="268">
        <v>3698</v>
      </c>
      <c r="H218" s="268">
        <v>18.08</v>
      </c>
      <c r="I218" s="274" t="s">
        <v>2657</v>
      </c>
      <c r="J218" s="113" t="s">
        <v>3999</v>
      </c>
      <c r="K218" s="266">
        <v>17.64</v>
      </c>
      <c r="L218" s="266" t="s">
        <v>2762</v>
      </c>
      <c r="M218" s="275" t="s">
        <v>2762</v>
      </c>
      <c r="N218" s="113" t="s">
        <v>66</v>
      </c>
      <c r="O218" s="113"/>
      <c r="P218" s="113"/>
      <c r="Q218" s="113">
        <v>32094.73</v>
      </c>
      <c r="R218" s="113">
        <v>566151</v>
      </c>
      <c r="S218" s="280">
        <v>366151</v>
      </c>
      <c r="T218" s="281">
        <f t="shared" si="71"/>
        <v>200000</v>
      </c>
      <c r="U218" s="280"/>
      <c r="V218" s="280"/>
      <c r="W218" s="280"/>
      <c r="X218" s="280"/>
      <c r="Y218" s="113"/>
      <c r="Z218" s="113"/>
      <c r="AA218" s="275"/>
      <c r="AB218" s="113"/>
      <c r="AC218" s="113"/>
      <c r="AD218" s="113"/>
      <c r="AE218" s="133"/>
      <c r="AG218" s="133"/>
      <c r="AH218" s="133"/>
      <c r="AI218" s="132">
        <f t="shared" si="68"/>
        <v>366151</v>
      </c>
      <c r="AJ218" s="132">
        <f t="shared" si="69"/>
        <v>366151</v>
      </c>
      <c r="AK218" s="133">
        <f t="shared" si="70"/>
        <v>0</v>
      </c>
      <c r="AL218" s="132"/>
      <c r="AM218" s="133"/>
      <c r="AN218" s="246">
        <v>44841</v>
      </c>
      <c r="AO218" s="137"/>
      <c r="AP218" s="97"/>
      <c r="AQ218" s="97"/>
      <c r="AR218" s="97"/>
      <c r="AS218" s="97"/>
      <c r="AT218" s="97"/>
      <c r="AU218" s="97"/>
      <c r="AV218" s="97"/>
      <c r="AW218" s="97"/>
      <c r="AX218" s="97"/>
      <c r="AY218" s="97"/>
      <c r="AZ218" s="97"/>
      <c r="BA218" s="97"/>
      <c r="BB218" s="97"/>
      <c r="BC218" s="97"/>
      <c r="BD218" s="97"/>
      <c r="BE218" s="97"/>
    </row>
    <row r="219" s="115" customFormat="1" customHeight="1" spans="1:57">
      <c r="A219" s="115" t="s">
        <v>4000</v>
      </c>
      <c r="B219" s="111" t="s">
        <v>4001</v>
      </c>
      <c r="C219" s="554" t="s">
        <v>4002</v>
      </c>
      <c r="D219" s="121" t="s">
        <v>4003</v>
      </c>
      <c r="E219" s="266">
        <v>13253538890</v>
      </c>
      <c r="F219" s="267">
        <v>1</v>
      </c>
      <c r="G219" s="268">
        <v>1131</v>
      </c>
      <c r="H219" s="268">
        <v>50.62</v>
      </c>
      <c r="I219" s="274" t="s">
        <v>2665</v>
      </c>
      <c r="J219" s="113" t="s">
        <v>4004</v>
      </c>
      <c r="K219" s="266">
        <v>46.68</v>
      </c>
      <c r="L219" s="266" t="s">
        <v>2711</v>
      </c>
      <c r="M219" s="275" t="s">
        <v>4005</v>
      </c>
      <c r="N219" s="113" t="s">
        <v>56</v>
      </c>
      <c r="O219" s="113"/>
      <c r="P219" s="113"/>
      <c r="Q219" s="113">
        <v>44620.8654670094</v>
      </c>
      <c r="R219" s="113">
        <v>2082902</v>
      </c>
      <c r="S219" s="280">
        <v>2082902</v>
      </c>
      <c r="T219" s="281">
        <f t="shared" si="71"/>
        <v>0</v>
      </c>
      <c r="U219" s="280"/>
      <c r="V219" s="280"/>
      <c r="W219" s="280"/>
      <c r="X219" s="280"/>
      <c r="Y219" s="113" t="s">
        <v>2669</v>
      </c>
      <c r="Z219" s="113"/>
      <c r="AA219" s="275"/>
      <c r="AB219" s="113" t="s">
        <v>4006</v>
      </c>
      <c r="AC219" s="113"/>
      <c r="AD219" s="113"/>
      <c r="AE219" s="133"/>
      <c r="AG219" s="133"/>
      <c r="AH219" s="133"/>
      <c r="AI219" s="132">
        <f t="shared" si="68"/>
        <v>2082902</v>
      </c>
      <c r="AJ219" s="132">
        <f t="shared" si="69"/>
        <v>2082902</v>
      </c>
      <c r="AK219" s="133">
        <f t="shared" si="70"/>
        <v>0</v>
      </c>
      <c r="AL219" s="132"/>
      <c r="AM219" s="133"/>
      <c r="AN219" s="246">
        <v>44841</v>
      </c>
      <c r="AO219" s="137"/>
      <c r="AP219" s="97"/>
      <c r="AQ219" s="97"/>
      <c r="AR219" s="97"/>
      <c r="AS219" s="97"/>
      <c r="AT219" s="97"/>
      <c r="AU219" s="97"/>
      <c r="AV219" s="97"/>
      <c r="AW219" s="97"/>
      <c r="AX219" s="97"/>
      <c r="AY219" s="97"/>
      <c r="AZ219" s="97"/>
      <c r="BA219" s="97"/>
      <c r="BB219" s="97"/>
      <c r="BC219" s="97"/>
      <c r="BD219" s="97"/>
      <c r="BE219" s="97"/>
    </row>
    <row r="220" s="115" customFormat="1" customHeight="1" spans="1:57">
      <c r="A220" s="115" t="s">
        <v>4007</v>
      </c>
      <c r="B220" s="111" t="s">
        <v>4008</v>
      </c>
      <c r="C220" s="111" t="s">
        <v>4009</v>
      </c>
      <c r="D220" s="121" t="s">
        <v>4010</v>
      </c>
      <c r="E220" s="266">
        <v>13783512730</v>
      </c>
      <c r="F220" s="267">
        <v>3</v>
      </c>
      <c r="G220" s="268">
        <v>3138</v>
      </c>
      <c r="H220" s="268">
        <v>24.88</v>
      </c>
      <c r="I220" s="274" t="s">
        <v>2657</v>
      </c>
      <c r="J220" s="113" t="s">
        <v>4011</v>
      </c>
      <c r="K220" s="266">
        <v>20.82</v>
      </c>
      <c r="L220" s="266" t="s">
        <v>2806</v>
      </c>
      <c r="M220" s="275" t="s">
        <v>3559</v>
      </c>
      <c r="N220" s="113" t="s">
        <v>56</v>
      </c>
      <c r="O220" s="113"/>
      <c r="P220" s="113"/>
      <c r="Q220" s="113">
        <v>30664.07</v>
      </c>
      <c r="R220" s="113">
        <v>762922</v>
      </c>
      <c r="S220" s="280">
        <v>762922</v>
      </c>
      <c r="T220" s="281">
        <f t="shared" si="71"/>
        <v>0</v>
      </c>
      <c r="U220" s="280"/>
      <c r="V220" s="280">
        <v>1617</v>
      </c>
      <c r="W220" s="280">
        <v>550</v>
      </c>
      <c r="X220" s="280"/>
      <c r="Y220" s="113" t="s">
        <v>2669</v>
      </c>
      <c r="Z220" s="113"/>
      <c r="AA220" s="275"/>
      <c r="AB220" s="113"/>
      <c r="AC220" s="113"/>
      <c r="AD220" s="113"/>
      <c r="AE220" s="133"/>
      <c r="AF220" s="115" t="s">
        <v>3075</v>
      </c>
      <c r="AG220" s="133"/>
      <c r="AH220" s="133"/>
      <c r="AI220" s="132">
        <f t="shared" si="68"/>
        <v>765089</v>
      </c>
      <c r="AJ220" s="132">
        <f t="shared" si="69"/>
        <v>765089</v>
      </c>
      <c r="AK220" s="133">
        <f t="shared" si="70"/>
        <v>0</v>
      </c>
      <c r="AL220" s="132"/>
      <c r="AM220" s="133"/>
      <c r="AN220" s="246">
        <v>44841</v>
      </c>
      <c r="AO220" s="137"/>
      <c r="AP220" s="97"/>
      <c r="AQ220" s="97"/>
      <c r="AR220" s="97"/>
      <c r="AS220" s="97"/>
      <c r="AT220" s="97"/>
      <c r="AU220" s="97"/>
      <c r="AV220" s="97"/>
      <c r="AW220" s="97"/>
      <c r="AX220" s="97"/>
      <c r="AY220" s="97"/>
      <c r="AZ220" s="97"/>
      <c r="BA220" s="97"/>
      <c r="BB220" s="97"/>
      <c r="BC220" s="97"/>
      <c r="BD220" s="97"/>
      <c r="BE220" s="97"/>
    </row>
    <row r="221" s="115" customFormat="1" customHeight="1" spans="1:57">
      <c r="A221" s="115" t="s">
        <v>4012</v>
      </c>
      <c r="B221" s="111" t="s">
        <v>4013</v>
      </c>
      <c r="C221" s="554" t="s">
        <v>4014</v>
      </c>
      <c r="D221" s="121" t="s">
        <v>4015</v>
      </c>
      <c r="E221" s="266">
        <v>18903867858</v>
      </c>
      <c r="F221" s="267">
        <v>4</v>
      </c>
      <c r="G221" s="268">
        <v>4395</v>
      </c>
      <c r="H221" s="268">
        <v>17.36</v>
      </c>
      <c r="I221" s="274" t="s">
        <v>2657</v>
      </c>
      <c r="J221" s="113" t="s">
        <v>4016</v>
      </c>
      <c r="K221" s="266">
        <v>13.72</v>
      </c>
      <c r="L221" s="266" t="s">
        <v>2954</v>
      </c>
      <c r="M221" s="275" t="s">
        <v>2746</v>
      </c>
      <c r="N221" s="113" t="s">
        <v>66</v>
      </c>
      <c r="O221" s="113"/>
      <c r="P221" s="113"/>
      <c r="Q221" s="113">
        <v>27348.91</v>
      </c>
      <c r="R221" s="113">
        <v>375227</v>
      </c>
      <c r="S221" s="280">
        <v>195227</v>
      </c>
      <c r="T221" s="281">
        <f t="shared" si="71"/>
        <v>180000</v>
      </c>
      <c r="U221" s="280"/>
      <c r="V221" s="280"/>
      <c r="W221" s="280"/>
      <c r="X221" s="280"/>
      <c r="Y221" s="113"/>
      <c r="Z221" s="113"/>
      <c r="AA221" s="275"/>
      <c r="AB221" s="113"/>
      <c r="AC221" s="113"/>
      <c r="AD221" s="113"/>
      <c r="AE221" s="133"/>
      <c r="AG221" s="133"/>
      <c r="AH221" s="133"/>
      <c r="AI221" s="132">
        <f t="shared" si="68"/>
        <v>195227</v>
      </c>
      <c r="AJ221" s="132">
        <f t="shared" si="69"/>
        <v>195227</v>
      </c>
      <c r="AK221" s="133">
        <f t="shared" si="70"/>
        <v>0</v>
      </c>
      <c r="AL221" s="132"/>
      <c r="AM221" s="133"/>
      <c r="AN221" s="246">
        <v>44841</v>
      </c>
      <c r="AO221" s="137"/>
      <c r="AP221" s="97"/>
      <c r="AQ221" s="97"/>
      <c r="AR221" s="97"/>
      <c r="AS221" s="97"/>
      <c r="AT221" s="97"/>
      <c r="AU221" s="97"/>
      <c r="AV221" s="97"/>
      <c r="AW221" s="97"/>
      <c r="AX221" s="97"/>
      <c r="AY221" s="97"/>
      <c r="AZ221" s="97"/>
      <c r="BA221" s="97"/>
      <c r="BB221" s="97"/>
      <c r="BC221" s="97"/>
      <c r="BD221" s="97"/>
      <c r="BE221" s="97"/>
    </row>
    <row r="222" s="115" customFormat="1" customHeight="1" spans="1:57">
      <c r="A222" s="115" t="s">
        <v>4017</v>
      </c>
      <c r="B222" s="111" t="s">
        <v>4018</v>
      </c>
      <c r="C222" s="554" t="s">
        <v>4019</v>
      </c>
      <c r="D222" s="121" t="s">
        <v>4020</v>
      </c>
      <c r="E222" s="266" t="s">
        <v>4021</v>
      </c>
      <c r="F222" s="267">
        <v>4</v>
      </c>
      <c r="G222" s="268">
        <v>4502</v>
      </c>
      <c r="H222" s="268">
        <v>13.21</v>
      </c>
      <c r="I222" s="274" t="s">
        <v>2657</v>
      </c>
      <c r="J222" s="113" t="s">
        <v>4022</v>
      </c>
      <c r="K222" s="266">
        <v>11.21</v>
      </c>
      <c r="L222" s="266" t="s">
        <v>3408</v>
      </c>
      <c r="M222" s="275" t="s">
        <v>3988</v>
      </c>
      <c r="N222" s="113" t="s">
        <v>66</v>
      </c>
      <c r="O222" s="113"/>
      <c r="P222" s="113"/>
      <c r="Q222" s="113">
        <v>26287.69</v>
      </c>
      <c r="R222" s="113">
        <v>294685</v>
      </c>
      <c r="S222" s="280">
        <v>154685</v>
      </c>
      <c r="T222" s="281">
        <f t="shared" si="71"/>
        <v>140000</v>
      </c>
      <c r="U222" s="280"/>
      <c r="V222" s="280"/>
      <c r="W222" s="280"/>
      <c r="X222" s="280"/>
      <c r="Y222" s="113"/>
      <c r="Z222" s="113"/>
      <c r="AA222" s="275"/>
      <c r="AB222" s="113"/>
      <c r="AC222" s="113"/>
      <c r="AD222" s="113"/>
      <c r="AE222" s="133"/>
      <c r="AF222" s="115" t="s">
        <v>3075</v>
      </c>
      <c r="AG222" s="133"/>
      <c r="AH222" s="133"/>
      <c r="AI222" s="132">
        <f t="shared" si="68"/>
        <v>154685</v>
      </c>
      <c r="AJ222" s="132">
        <f t="shared" si="69"/>
        <v>154685</v>
      </c>
      <c r="AK222" s="133">
        <f t="shared" si="70"/>
        <v>0</v>
      </c>
      <c r="AL222" s="132"/>
      <c r="AM222" s="133"/>
      <c r="AN222" s="246">
        <v>44841</v>
      </c>
      <c r="AO222" s="137"/>
      <c r="AP222" s="97"/>
      <c r="AQ222" s="97"/>
      <c r="AR222" s="97"/>
      <c r="AS222" s="97"/>
      <c r="AT222" s="97"/>
      <c r="AU222" s="97"/>
      <c r="AV222" s="97"/>
      <c r="AW222" s="97"/>
      <c r="AX222" s="97"/>
      <c r="AY222" s="97"/>
      <c r="AZ222" s="97"/>
      <c r="BA222" s="97"/>
      <c r="BB222" s="97"/>
      <c r="BC222" s="97"/>
      <c r="BD222" s="97"/>
      <c r="BE222" s="97"/>
    </row>
    <row r="223" s="115" customFormat="1" customHeight="1" spans="1:57">
      <c r="A223" s="115" t="s">
        <v>4023</v>
      </c>
      <c r="B223" s="111" t="s">
        <v>4024</v>
      </c>
      <c r="C223" s="554" t="s">
        <v>4025</v>
      </c>
      <c r="D223" s="121" t="s">
        <v>4026</v>
      </c>
      <c r="E223" s="266">
        <v>13410039466</v>
      </c>
      <c r="F223" s="267">
        <v>3</v>
      </c>
      <c r="G223" s="268">
        <v>3111</v>
      </c>
      <c r="H223" s="268">
        <v>39.54</v>
      </c>
      <c r="I223" s="274" t="s">
        <v>2665</v>
      </c>
      <c r="J223" s="113" t="s">
        <v>4027</v>
      </c>
      <c r="K223" s="266">
        <v>36.53</v>
      </c>
      <c r="L223" s="266" t="s">
        <v>4028</v>
      </c>
      <c r="M223" s="275" t="s">
        <v>3849</v>
      </c>
      <c r="N223" s="113" t="s">
        <v>66</v>
      </c>
      <c r="O223" s="113"/>
      <c r="P223" s="113"/>
      <c r="Q223" s="113">
        <v>22398.41</v>
      </c>
      <c r="R223" s="113">
        <v>818214</v>
      </c>
      <c r="S223" s="280">
        <v>418214</v>
      </c>
      <c r="T223" s="281">
        <f t="shared" si="71"/>
        <v>400000</v>
      </c>
      <c r="U223" s="280"/>
      <c r="V223" s="280"/>
      <c r="W223" s="280"/>
      <c r="X223" s="280"/>
      <c r="Y223" s="113"/>
      <c r="Z223" s="113"/>
      <c r="AA223" s="275"/>
      <c r="AB223" s="113"/>
      <c r="AC223" s="113"/>
      <c r="AD223" s="113"/>
      <c r="AE223" s="133"/>
      <c r="AG223" s="133"/>
      <c r="AH223" s="133"/>
      <c r="AI223" s="132">
        <f t="shared" si="68"/>
        <v>418214</v>
      </c>
      <c r="AJ223" s="132">
        <f t="shared" si="69"/>
        <v>418214</v>
      </c>
      <c r="AK223" s="133">
        <f t="shared" si="70"/>
        <v>0</v>
      </c>
      <c r="AL223" s="132"/>
      <c r="AM223" s="133"/>
      <c r="AN223" s="246">
        <v>44841</v>
      </c>
      <c r="AO223" s="137"/>
      <c r="AP223" s="97"/>
      <c r="AQ223" s="97"/>
      <c r="AR223" s="97"/>
      <c r="AS223" s="97"/>
      <c r="AT223" s="97"/>
      <c r="AU223" s="97"/>
      <c r="AV223" s="97"/>
      <c r="AW223" s="97"/>
      <c r="AX223" s="97"/>
      <c r="AY223" s="97"/>
      <c r="AZ223" s="97"/>
      <c r="BA223" s="97"/>
      <c r="BB223" s="97"/>
      <c r="BC223" s="97"/>
      <c r="BD223" s="97"/>
      <c r="BE223" s="97"/>
    </row>
    <row r="224" s="115" customFormat="1" customHeight="1" spans="1:57">
      <c r="A224" s="115" t="s">
        <v>4029</v>
      </c>
      <c r="B224" s="111" t="s">
        <v>4030</v>
      </c>
      <c r="C224" s="554" t="s">
        <v>4031</v>
      </c>
      <c r="D224" s="121" t="s">
        <v>4032</v>
      </c>
      <c r="E224" s="266">
        <v>15037813920</v>
      </c>
      <c r="F224" s="267">
        <v>4</v>
      </c>
      <c r="G224" s="268">
        <v>4271</v>
      </c>
      <c r="H224" s="268">
        <v>9.31</v>
      </c>
      <c r="I224" s="274" t="s">
        <v>2657</v>
      </c>
      <c r="J224" s="113" t="s">
        <v>4033</v>
      </c>
      <c r="K224" s="266">
        <v>9.6</v>
      </c>
      <c r="L224" s="266" t="s">
        <v>3433</v>
      </c>
      <c r="M224" s="275" t="s">
        <v>4034</v>
      </c>
      <c r="N224" s="113" t="s">
        <v>56</v>
      </c>
      <c r="O224" s="113"/>
      <c r="P224" s="113"/>
      <c r="Q224" s="113">
        <v>26746.56</v>
      </c>
      <c r="R224" s="113">
        <v>256767</v>
      </c>
      <c r="S224" s="280">
        <v>256767</v>
      </c>
      <c r="T224" s="281">
        <f t="shared" si="71"/>
        <v>0</v>
      </c>
      <c r="U224" s="280"/>
      <c r="V224" s="280"/>
      <c r="W224" s="280"/>
      <c r="X224" s="280"/>
      <c r="Y224" s="113"/>
      <c r="Z224" s="113"/>
      <c r="AA224" s="275"/>
      <c r="AB224" s="113"/>
      <c r="AC224" s="113"/>
      <c r="AD224" s="113"/>
      <c r="AE224" s="133"/>
      <c r="AF224" s="115" t="s">
        <v>3075</v>
      </c>
      <c r="AG224" s="133"/>
      <c r="AH224" s="133"/>
      <c r="AI224" s="132">
        <f t="shared" si="68"/>
        <v>256767</v>
      </c>
      <c r="AJ224" s="132">
        <f t="shared" si="69"/>
        <v>256767</v>
      </c>
      <c r="AK224" s="133">
        <f t="shared" si="70"/>
        <v>0</v>
      </c>
      <c r="AL224" s="132"/>
      <c r="AM224" s="133"/>
      <c r="AN224" s="246">
        <v>44841</v>
      </c>
      <c r="AO224" s="137"/>
      <c r="AP224" s="97"/>
      <c r="AQ224" s="97"/>
      <c r="AR224" s="97"/>
      <c r="AS224" s="97"/>
      <c r="AT224" s="97"/>
      <c r="AU224" s="97"/>
      <c r="AV224" s="97"/>
      <c r="AW224" s="97"/>
      <c r="AX224" s="97"/>
      <c r="AY224" s="97"/>
      <c r="AZ224" s="97"/>
      <c r="BA224" s="97"/>
      <c r="BB224" s="97"/>
      <c r="BC224" s="97"/>
      <c r="BD224" s="97"/>
      <c r="BE224" s="97"/>
    </row>
    <row r="225" s="115" customFormat="1" customHeight="1" spans="1:57">
      <c r="A225" s="115" t="s">
        <v>4035</v>
      </c>
      <c r="B225" s="111" t="s">
        <v>4036</v>
      </c>
      <c r="C225" s="554" t="s">
        <v>4037</v>
      </c>
      <c r="D225" s="121" t="s">
        <v>4038</v>
      </c>
      <c r="E225" s="266">
        <v>15939991999</v>
      </c>
      <c r="F225" s="267">
        <v>1</v>
      </c>
      <c r="G225" s="268">
        <v>1811</v>
      </c>
      <c r="H225" s="268">
        <v>14.46</v>
      </c>
      <c r="I225" s="274" t="s">
        <v>2657</v>
      </c>
      <c r="J225" s="113" t="s">
        <v>4039</v>
      </c>
      <c r="K225" s="266">
        <v>13.52</v>
      </c>
      <c r="L225" s="266" t="s">
        <v>3497</v>
      </c>
      <c r="M225" s="275" t="s">
        <v>2763</v>
      </c>
      <c r="N225" s="113" t="s">
        <v>66</v>
      </c>
      <c r="O225" s="113"/>
      <c r="P225" s="113"/>
      <c r="Q225" s="113">
        <v>48827.59</v>
      </c>
      <c r="R225" s="113">
        <v>706047</v>
      </c>
      <c r="S225" s="280">
        <v>356047</v>
      </c>
      <c r="T225" s="281"/>
      <c r="U225" s="280">
        <v>350000</v>
      </c>
      <c r="V225" s="280">
        <v>939</v>
      </c>
      <c r="W225" s="280">
        <v>550</v>
      </c>
      <c r="X225" s="280"/>
      <c r="Y225" s="113" t="s">
        <v>2669</v>
      </c>
      <c r="Z225" s="113" t="s">
        <v>48</v>
      </c>
      <c r="AA225" s="275">
        <v>44023</v>
      </c>
      <c r="AB225" s="113"/>
      <c r="AC225" s="113">
        <v>1255</v>
      </c>
      <c r="AD225" s="113"/>
      <c r="AE225" s="133"/>
      <c r="AG225" s="133"/>
      <c r="AH225" s="133"/>
      <c r="AI225" s="132">
        <f t="shared" ref="AI225:AI232" si="72">S225+U225+V225+W225+X225+AC225+AD225+AE225</f>
        <v>708791</v>
      </c>
      <c r="AJ225" s="132">
        <f t="shared" ref="AJ225:AJ232" si="73">S225+U225+V225+W225+X225</f>
        <v>707536</v>
      </c>
      <c r="AK225" s="133">
        <f t="shared" ref="AK225:AK232" si="74">AI225-AJ225</f>
        <v>1255</v>
      </c>
      <c r="AL225" s="132"/>
      <c r="AM225" s="133"/>
      <c r="AN225" s="246">
        <v>44841</v>
      </c>
      <c r="AO225" s="137"/>
      <c r="AP225" s="97"/>
      <c r="AQ225" s="97"/>
      <c r="AR225" s="97"/>
      <c r="AS225" s="97"/>
      <c r="AT225" s="97"/>
      <c r="AU225" s="97"/>
      <c r="AV225" s="97"/>
      <c r="AW225" s="97"/>
      <c r="AX225" s="97"/>
      <c r="AY225" s="97"/>
      <c r="AZ225" s="97"/>
      <c r="BA225" s="97"/>
      <c r="BB225" s="97"/>
      <c r="BC225" s="97"/>
      <c r="BD225" s="97"/>
      <c r="BE225" s="97"/>
    </row>
    <row r="226" s="115" customFormat="1" customHeight="1" spans="1:57">
      <c r="A226" s="115" t="s">
        <v>4040</v>
      </c>
      <c r="B226" s="111" t="s">
        <v>4041</v>
      </c>
      <c r="C226" s="111" t="s">
        <v>4042</v>
      </c>
      <c r="D226" s="121" t="s">
        <v>4043</v>
      </c>
      <c r="E226" s="266">
        <v>13613861463</v>
      </c>
      <c r="F226" s="267">
        <v>4</v>
      </c>
      <c r="G226" s="268">
        <v>4533</v>
      </c>
      <c r="H226" s="268">
        <v>11.36</v>
      </c>
      <c r="I226" s="274" t="s">
        <v>2657</v>
      </c>
      <c r="J226" s="113" t="s">
        <v>4044</v>
      </c>
      <c r="K226" s="266">
        <v>9.24</v>
      </c>
      <c r="L226" s="266" t="s">
        <v>3096</v>
      </c>
      <c r="M226" s="275" t="s">
        <v>3472</v>
      </c>
      <c r="N226" s="113" t="s">
        <v>66</v>
      </c>
      <c r="O226" s="113"/>
      <c r="P226" s="113"/>
      <c r="Q226" s="113">
        <v>26553.25</v>
      </c>
      <c r="R226" s="113">
        <v>301645</v>
      </c>
      <c r="S226" s="280">
        <v>151645</v>
      </c>
      <c r="T226" s="281"/>
      <c r="U226" s="280">
        <v>150000</v>
      </c>
      <c r="V226" s="280">
        <v>738</v>
      </c>
      <c r="W226" s="280">
        <v>550</v>
      </c>
      <c r="X226" s="280"/>
      <c r="Y226" s="113" t="s">
        <v>2669</v>
      </c>
      <c r="Z226" s="113" t="s">
        <v>48</v>
      </c>
      <c r="AA226" s="275">
        <v>44024</v>
      </c>
      <c r="AB226" s="113"/>
      <c r="AC226" s="113">
        <v>1235</v>
      </c>
      <c r="AD226" s="113"/>
      <c r="AE226" s="133"/>
      <c r="AG226" s="133"/>
      <c r="AH226" s="133"/>
      <c r="AI226" s="132">
        <f t="shared" si="72"/>
        <v>304168</v>
      </c>
      <c r="AJ226" s="132">
        <f t="shared" si="73"/>
        <v>302933</v>
      </c>
      <c r="AK226" s="133">
        <f t="shared" si="74"/>
        <v>1235</v>
      </c>
      <c r="AL226" s="132"/>
      <c r="AM226" s="133"/>
      <c r="AN226" s="246">
        <v>44841</v>
      </c>
      <c r="AO226" s="137"/>
      <c r="AP226" s="97"/>
      <c r="AQ226" s="97"/>
      <c r="AR226" s="97"/>
      <c r="AS226" s="97"/>
      <c r="AT226" s="97"/>
      <c r="AU226" s="97"/>
      <c r="AV226" s="97"/>
      <c r="AW226" s="97"/>
      <c r="AX226" s="97"/>
      <c r="AY226" s="97"/>
      <c r="AZ226" s="97"/>
      <c r="BA226" s="97"/>
      <c r="BB226" s="97"/>
      <c r="BC226" s="97"/>
      <c r="BD226" s="97"/>
      <c r="BE226" s="97"/>
    </row>
    <row r="227" s="115" customFormat="1" customHeight="1" spans="1:57">
      <c r="A227" s="115" t="s">
        <v>4045</v>
      </c>
      <c r="B227" s="111" t="s">
        <v>4046</v>
      </c>
      <c r="C227" s="111" t="s">
        <v>4047</v>
      </c>
      <c r="D227" s="121" t="s">
        <v>4048</v>
      </c>
      <c r="E227" s="266">
        <v>18300736270</v>
      </c>
      <c r="F227" s="267">
        <v>3</v>
      </c>
      <c r="G227" s="268">
        <v>3775</v>
      </c>
      <c r="H227" s="268">
        <v>15.99</v>
      </c>
      <c r="I227" s="274" t="s">
        <v>2657</v>
      </c>
      <c r="J227" s="113" t="s">
        <v>4049</v>
      </c>
      <c r="K227" s="266">
        <v>12.79</v>
      </c>
      <c r="L227" s="266" t="s">
        <v>3686</v>
      </c>
      <c r="M227" s="275" t="s">
        <v>3356</v>
      </c>
      <c r="N227" s="113" t="s">
        <v>66</v>
      </c>
      <c r="O227" s="113"/>
      <c r="P227" s="113"/>
      <c r="Q227" s="113">
        <v>32406.02</v>
      </c>
      <c r="R227" s="113">
        <v>414473</v>
      </c>
      <c r="S227" s="280">
        <v>214473</v>
      </c>
      <c r="T227" s="281">
        <f t="shared" ref="T227:T238" si="75">R227-S227</f>
        <v>200000</v>
      </c>
      <c r="U227" s="280"/>
      <c r="V227" s="280"/>
      <c r="W227" s="280"/>
      <c r="X227" s="280"/>
      <c r="Y227" s="113"/>
      <c r="Z227" s="113"/>
      <c r="AA227" s="275"/>
      <c r="AB227" s="113"/>
      <c r="AC227" s="113"/>
      <c r="AD227" s="113"/>
      <c r="AE227" s="133"/>
      <c r="AG227" s="133"/>
      <c r="AH227" s="133"/>
      <c r="AI227" s="132">
        <f t="shared" si="72"/>
        <v>214473</v>
      </c>
      <c r="AJ227" s="132">
        <f t="shared" si="73"/>
        <v>214473</v>
      </c>
      <c r="AK227" s="133">
        <f t="shared" si="74"/>
        <v>0</v>
      </c>
      <c r="AL227" s="132"/>
      <c r="AM227" s="133"/>
      <c r="AN227" s="246">
        <v>44841</v>
      </c>
      <c r="AO227" s="137"/>
      <c r="AP227" s="97"/>
      <c r="AQ227" s="97"/>
      <c r="AR227" s="97"/>
      <c r="AS227" s="97"/>
      <c r="AT227" s="97"/>
      <c r="AU227" s="97"/>
      <c r="AV227" s="97"/>
      <c r="AW227" s="97"/>
      <c r="AX227" s="97"/>
      <c r="AY227" s="97"/>
      <c r="AZ227" s="97"/>
      <c r="BA227" s="97"/>
      <c r="BB227" s="97"/>
      <c r="BC227" s="97"/>
      <c r="BD227" s="97"/>
      <c r="BE227" s="97"/>
    </row>
    <row r="228" s="115" customFormat="1" customHeight="1" spans="1:57">
      <c r="A228" s="115" t="s">
        <v>4050</v>
      </c>
      <c r="B228" s="111" t="s">
        <v>4051</v>
      </c>
      <c r="C228" s="111" t="s">
        <v>4052</v>
      </c>
      <c r="D228" s="121" t="s">
        <v>4053</v>
      </c>
      <c r="E228" s="266">
        <v>15038300757</v>
      </c>
      <c r="F228" s="267">
        <v>3</v>
      </c>
      <c r="G228" s="268">
        <v>3571</v>
      </c>
      <c r="H228" s="268">
        <v>9.74</v>
      </c>
      <c r="I228" s="274" t="s">
        <v>2657</v>
      </c>
      <c r="J228" s="113" t="s">
        <v>4054</v>
      </c>
      <c r="K228" s="266">
        <v>9.64</v>
      </c>
      <c r="L228" s="266" t="s">
        <v>4055</v>
      </c>
      <c r="M228" s="275" t="s">
        <v>2747</v>
      </c>
      <c r="N228" s="113" t="s">
        <v>66</v>
      </c>
      <c r="O228" s="113"/>
      <c r="P228" s="113"/>
      <c r="Q228" s="113">
        <v>32987.55</v>
      </c>
      <c r="R228" s="113">
        <v>318000</v>
      </c>
      <c r="S228" s="280">
        <v>168000</v>
      </c>
      <c r="T228" s="281">
        <f t="shared" si="75"/>
        <v>150000</v>
      </c>
      <c r="U228" s="280"/>
      <c r="V228" s="280"/>
      <c r="W228" s="280"/>
      <c r="X228" s="280"/>
      <c r="Y228" s="113"/>
      <c r="Z228" s="113"/>
      <c r="AA228" s="275"/>
      <c r="AB228" s="113"/>
      <c r="AC228" s="113"/>
      <c r="AD228" s="113"/>
      <c r="AE228" s="133"/>
      <c r="AG228" s="133"/>
      <c r="AH228" s="133"/>
      <c r="AI228" s="132">
        <f t="shared" si="72"/>
        <v>168000</v>
      </c>
      <c r="AJ228" s="132">
        <f t="shared" si="73"/>
        <v>168000</v>
      </c>
      <c r="AK228" s="133">
        <f t="shared" si="74"/>
        <v>0</v>
      </c>
      <c r="AL228" s="132"/>
      <c r="AM228" s="133"/>
      <c r="AN228" s="246">
        <v>44841</v>
      </c>
      <c r="AO228" s="137"/>
      <c r="AP228" s="97"/>
      <c r="AQ228" s="97"/>
      <c r="AR228" s="97"/>
      <c r="AS228" s="97"/>
      <c r="AT228" s="97"/>
      <c r="AU228" s="97"/>
      <c r="AV228" s="97"/>
      <c r="AW228" s="97"/>
      <c r="AX228" s="97"/>
      <c r="AY228" s="97"/>
      <c r="AZ228" s="97"/>
      <c r="BA228" s="97"/>
      <c r="BB228" s="97"/>
      <c r="BC228" s="97"/>
      <c r="BD228" s="97"/>
      <c r="BE228" s="97"/>
    </row>
    <row r="229" s="115" customFormat="1" customHeight="1" spans="1:57">
      <c r="A229" s="115" t="s">
        <v>4056</v>
      </c>
      <c r="B229" s="111" t="s">
        <v>4057</v>
      </c>
      <c r="C229" s="111" t="s">
        <v>4058</v>
      </c>
      <c r="D229" s="121" t="s">
        <v>4059</v>
      </c>
      <c r="E229" s="266">
        <v>13653821715</v>
      </c>
      <c r="F229" s="267">
        <v>4</v>
      </c>
      <c r="G229" s="268">
        <v>4403</v>
      </c>
      <c r="H229" s="268">
        <v>14.06</v>
      </c>
      <c r="I229" s="274" t="s">
        <v>2657</v>
      </c>
      <c r="J229" s="113" t="s">
        <v>4060</v>
      </c>
      <c r="K229" s="266">
        <v>15.8</v>
      </c>
      <c r="L229" s="266" t="s">
        <v>2954</v>
      </c>
      <c r="M229" s="275" t="s">
        <v>4061</v>
      </c>
      <c r="N229" s="113" t="s">
        <v>56</v>
      </c>
      <c r="O229" s="113"/>
      <c r="P229" s="113"/>
      <c r="Q229" s="113">
        <v>26338.99</v>
      </c>
      <c r="R229" s="113">
        <v>370326</v>
      </c>
      <c r="S229" s="280">
        <v>370326</v>
      </c>
      <c r="T229" s="281">
        <f t="shared" si="75"/>
        <v>0</v>
      </c>
      <c r="U229" s="280"/>
      <c r="V229" s="280">
        <v>913</v>
      </c>
      <c r="W229" s="280">
        <v>550</v>
      </c>
      <c r="X229" s="280">
        <v>44367</v>
      </c>
      <c r="Y229" s="113" t="s">
        <v>2669</v>
      </c>
      <c r="Z229" s="113" t="s">
        <v>48</v>
      </c>
      <c r="AA229" s="275">
        <v>44053</v>
      </c>
      <c r="AB229" s="113"/>
      <c r="AC229" s="113"/>
      <c r="AD229" s="113"/>
      <c r="AE229" s="133"/>
      <c r="AG229" s="133"/>
      <c r="AH229" s="133"/>
      <c r="AI229" s="132">
        <f t="shared" si="72"/>
        <v>416156</v>
      </c>
      <c r="AJ229" s="132">
        <f t="shared" si="73"/>
        <v>416156</v>
      </c>
      <c r="AK229" s="133">
        <f t="shared" si="74"/>
        <v>0</v>
      </c>
      <c r="AL229" s="132"/>
      <c r="AM229" s="133"/>
      <c r="AN229" s="246">
        <v>44841</v>
      </c>
      <c r="AO229" s="137"/>
      <c r="AP229" s="97"/>
      <c r="AQ229" s="97"/>
      <c r="AR229" s="97"/>
      <c r="AS229" s="97"/>
      <c r="AT229" s="97"/>
      <c r="AU229" s="97"/>
      <c r="AV229" s="97"/>
      <c r="AW229" s="97"/>
      <c r="AX229" s="97"/>
      <c r="AY229" s="97"/>
      <c r="AZ229" s="97"/>
      <c r="BA229" s="97"/>
      <c r="BB229" s="97"/>
      <c r="BC229" s="97"/>
      <c r="BD229" s="97"/>
      <c r="BE229" s="97"/>
    </row>
    <row r="230" s="115" customFormat="1" customHeight="1" spans="1:57">
      <c r="A230" s="115" t="s">
        <v>4062</v>
      </c>
      <c r="B230" s="111" t="s">
        <v>4063</v>
      </c>
      <c r="C230" s="111" t="s">
        <v>4064</v>
      </c>
      <c r="D230" s="121" t="s">
        <v>4065</v>
      </c>
      <c r="E230" s="266">
        <v>15038379863</v>
      </c>
      <c r="F230" s="267">
        <v>3</v>
      </c>
      <c r="G230" s="268">
        <v>3598</v>
      </c>
      <c r="H230" s="268">
        <v>18.16</v>
      </c>
      <c r="I230" s="274" t="s">
        <v>2657</v>
      </c>
      <c r="J230" s="113" t="s">
        <v>4066</v>
      </c>
      <c r="K230" s="266">
        <v>14.71</v>
      </c>
      <c r="L230" s="266" t="s">
        <v>2961</v>
      </c>
      <c r="M230" s="275" t="s">
        <v>3073</v>
      </c>
      <c r="N230" s="113" t="s">
        <v>66</v>
      </c>
      <c r="O230" s="113"/>
      <c r="P230" s="113"/>
      <c r="Q230" s="113">
        <v>32085.11</v>
      </c>
      <c r="R230" s="113">
        <v>471972</v>
      </c>
      <c r="S230" s="280">
        <v>241972</v>
      </c>
      <c r="T230" s="281">
        <f t="shared" si="75"/>
        <v>230000</v>
      </c>
      <c r="U230" s="280"/>
      <c r="V230" s="280"/>
      <c r="W230" s="280"/>
      <c r="X230" s="280"/>
      <c r="Y230" s="113"/>
      <c r="Z230" s="113"/>
      <c r="AA230" s="275"/>
      <c r="AB230" s="113" t="s">
        <v>4067</v>
      </c>
      <c r="AC230" s="113"/>
      <c r="AD230" s="113"/>
      <c r="AE230" s="133"/>
      <c r="AG230" s="133"/>
      <c r="AH230" s="133"/>
      <c r="AI230" s="132">
        <f t="shared" si="72"/>
        <v>241972</v>
      </c>
      <c r="AJ230" s="132">
        <f t="shared" si="73"/>
        <v>241972</v>
      </c>
      <c r="AK230" s="133">
        <f t="shared" si="74"/>
        <v>0</v>
      </c>
      <c r="AL230" s="132"/>
      <c r="AM230" s="133"/>
      <c r="AN230" s="246">
        <v>44841</v>
      </c>
      <c r="AO230" s="137"/>
      <c r="AP230" s="97"/>
      <c r="AQ230" s="97"/>
      <c r="AR230" s="97"/>
      <c r="AS230" s="97"/>
      <c r="AT230" s="97"/>
      <c r="AU230" s="97"/>
      <c r="AV230" s="97"/>
      <c r="AW230" s="97"/>
      <c r="AX230" s="97"/>
      <c r="AY230" s="97"/>
      <c r="AZ230" s="97"/>
      <c r="BA230" s="97"/>
      <c r="BB230" s="97"/>
      <c r="BC230" s="97"/>
      <c r="BD230" s="97"/>
      <c r="BE230" s="97"/>
    </row>
    <row r="231" s="115" customFormat="1" customHeight="1" spans="1:57">
      <c r="A231" s="115" t="s">
        <v>4068</v>
      </c>
      <c r="B231" s="111" t="s">
        <v>4069</v>
      </c>
      <c r="C231" s="554" t="s">
        <v>4070</v>
      </c>
      <c r="D231" s="121" t="s">
        <v>4071</v>
      </c>
      <c r="E231" s="266">
        <v>13592413857</v>
      </c>
      <c r="F231" s="267">
        <v>4</v>
      </c>
      <c r="G231" s="268">
        <v>4265</v>
      </c>
      <c r="H231" s="268">
        <v>15.93</v>
      </c>
      <c r="I231" s="274" t="s">
        <v>2657</v>
      </c>
      <c r="J231" s="113" t="s">
        <v>4072</v>
      </c>
      <c r="K231" s="266" t="s">
        <v>4073</v>
      </c>
      <c r="L231" s="266">
        <v>43751</v>
      </c>
      <c r="M231" s="275" t="s">
        <v>3806</v>
      </c>
      <c r="N231" s="113" t="s">
        <v>56</v>
      </c>
      <c r="O231" s="113"/>
      <c r="P231" s="113"/>
      <c r="Q231" s="113">
        <v>27116.55</v>
      </c>
      <c r="R231" s="113">
        <v>431967</v>
      </c>
      <c r="S231" s="280">
        <v>431967</v>
      </c>
      <c r="T231" s="281">
        <f t="shared" si="75"/>
        <v>0</v>
      </c>
      <c r="U231" s="280"/>
      <c r="V231" s="280">
        <v>1035</v>
      </c>
      <c r="W231" s="280">
        <v>550</v>
      </c>
      <c r="X231" s="280"/>
      <c r="Y231" s="113"/>
      <c r="Z231" s="113"/>
      <c r="AA231" s="275"/>
      <c r="AB231" s="113" t="s">
        <v>4074</v>
      </c>
      <c r="AC231" s="113"/>
      <c r="AD231" s="113"/>
      <c r="AE231" s="133"/>
      <c r="AG231" s="133"/>
      <c r="AH231" s="133"/>
      <c r="AI231" s="132">
        <f t="shared" si="72"/>
        <v>433552</v>
      </c>
      <c r="AJ231" s="132">
        <f t="shared" si="73"/>
        <v>433552</v>
      </c>
      <c r="AK231" s="133">
        <f t="shared" si="74"/>
        <v>0</v>
      </c>
      <c r="AL231" s="132"/>
      <c r="AM231" s="133"/>
      <c r="AN231" s="246">
        <v>44841</v>
      </c>
      <c r="AO231" s="137"/>
      <c r="AP231" s="97"/>
      <c r="AQ231" s="97"/>
      <c r="AR231" s="97"/>
      <c r="AS231" s="97"/>
      <c r="AT231" s="97"/>
      <c r="AU231" s="97"/>
      <c r="AV231" s="97"/>
      <c r="AW231" s="97"/>
      <c r="AX231" s="97"/>
      <c r="AY231" s="97"/>
      <c r="AZ231" s="97"/>
      <c r="BA231" s="97"/>
      <c r="BB231" s="97"/>
      <c r="BC231" s="97"/>
      <c r="BD231" s="97"/>
      <c r="BE231" s="97"/>
    </row>
    <row r="232" s="115" customFormat="1" customHeight="1" spans="1:57">
      <c r="A232" s="115" t="s">
        <v>4075</v>
      </c>
      <c r="B232" s="111" t="s">
        <v>4076</v>
      </c>
      <c r="C232" s="111" t="s">
        <v>4077</v>
      </c>
      <c r="D232" s="121" t="s">
        <v>4078</v>
      </c>
      <c r="E232" s="266" t="s">
        <v>4079</v>
      </c>
      <c r="F232" s="267">
        <v>3</v>
      </c>
      <c r="G232" s="268">
        <v>3356</v>
      </c>
      <c r="H232" s="268">
        <v>19.42</v>
      </c>
      <c r="I232" s="274" t="s">
        <v>2657</v>
      </c>
      <c r="J232" s="113" t="s">
        <v>4080</v>
      </c>
      <c r="K232" s="266">
        <v>19.01</v>
      </c>
      <c r="L232" s="266" t="s">
        <v>3151</v>
      </c>
      <c r="M232" s="275" t="s">
        <v>3818</v>
      </c>
      <c r="N232" s="113" t="s">
        <v>56</v>
      </c>
      <c r="O232" s="113"/>
      <c r="P232" s="113"/>
      <c r="Q232" s="113">
        <v>30196.48</v>
      </c>
      <c r="R232" s="113">
        <v>586416</v>
      </c>
      <c r="S232" s="280">
        <v>586416</v>
      </c>
      <c r="T232" s="281">
        <f t="shared" si="75"/>
        <v>0</v>
      </c>
      <c r="U232" s="280"/>
      <c r="V232" s="280">
        <v>1262</v>
      </c>
      <c r="W232" s="280">
        <v>550</v>
      </c>
      <c r="X232" s="280"/>
      <c r="Y232" s="113"/>
      <c r="Z232" s="113"/>
      <c r="AA232" s="275"/>
      <c r="AB232" s="113"/>
      <c r="AC232" s="113"/>
      <c r="AD232" s="113"/>
      <c r="AE232" s="133"/>
      <c r="AF232" s="115" t="s">
        <v>3075</v>
      </c>
      <c r="AG232" s="133"/>
      <c r="AH232" s="133"/>
      <c r="AI232" s="132">
        <f t="shared" si="72"/>
        <v>588228</v>
      </c>
      <c r="AJ232" s="132">
        <f t="shared" si="73"/>
        <v>588228</v>
      </c>
      <c r="AK232" s="133">
        <f t="shared" si="74"/>
        <v>0</v>
      </c>
      <c r="AL232" s="132"/>
      <c r="AM232" s="133"/>
      <c r="AN232" s="246">
        <v>44841</v>
      </c>
      <c r="AO232" s="137"/>
      <c r="AP232" s="97"/>
      <c r="AQ232" s="97"/>
      <c r="AR232" s="97"/>
      <c r="AS232" s="97"/>
      <c r="AT232" s="97"/>
      <c r="AU232" s="97"/>
      <c r="AV232" s="97"/>
      <c r="AW232" s="97"/>
      <c r="AX232" s="97"/>
      <c r="AY232" s="97"/>
      <c r="AZ232" s="97"/>
      <c r="BA232" s="97"/>
      <c r="BB232" s="97"/>
      <c r="BC232" s="97"/>
      <c r="BD232" s="97"/>
      <c r="BE232" s="97"/>
    </row>
    <row r="233" s="115" customFormat="1" customHeight="1" spans="1:57">
      <c r="A233" s="115" t="s">
        <v>4081</v>
      </c>
      <c r="B233" s="111" t="s">
        <v>4082</v>
      </c>
      <c r="C233" s="111" t="s">
        <v>4083</v>
      </c>
      <c r="D233" s="121" t="s">
        <v>4084</v>
      </c>
      <c r="E233" s="266" t="s">
        <v>4085</v>
      </c>
      <c r="F233" s="267">
        <v>4</v>
      </c>
      <c r="G233" s="268">
        <v>4431</v>
      </c>
      <c r="H233" s="268">
        <v>26.6</v>
      </c>
      <c r="I233" s="274" t="s">
        <v>2665</v>
      </c>
      <c r="J233" s="113" t="s">
        <v>4086</v>
      </c>
      <c r="K233" s="266">
        <v>30.38</v>
      </c>
      <c r="L233" s="266" t="s">
        <v>4087</v>
      </c>
      <c r="M233" s="275" t="s">
        <v>4088</v>
      </c>
      <c r="N233" s="113" t="s">
        <v>66</v>
      </c>
      <c r="O233" s="113"/>
      <c r="P233" s="113"/>
      <c r="Q233" s="113">
        <v>26629.33</v>
      </c>
      <c r="R233" s="113">
        <v>808999</v>
      </c>
      <c r="S233" s="280">
        <v>408999</v>
      </c>
      <c r="T233" s="281">
        <f t="shared" si="75"/>
        <v>400000</v>
      </c>
      <c r="U233" s="280"/>
      <c r="V233" s="280"/>
      <c r="W233" s="280"/>
      <c r="X233" s="280"/>
      <c r="Y233" s="113"/>
      <c r="Z233" s="113"/>
      <c r="AA233" s="275"/>
      <c r="AB233" s="113"/>
      <c r="AC233" s="113"/>
      <c r="AD233" s="113"/>
      <c r="AE233" s="133"/>
      <c r="AG233" s="133" t="s">
        <v>4089</v>
      </c>
      <c r="AH233" s="133"/>
      <c r="AI233" s="132">
        <f t="shared" ref="AI233:AI244" si="76">S233+U233+V233+W233+X233+AC233+AD233+AE233</f>
        <v>408999</v>
      </c>
      <c r="AJ233" s="132">
        <f t="shared" ref="AJ233:AJ244" si="77">S233+U233+V233+W233+X233</f>
        <v>408999</v>
      </c>
      <c r="AK233" s="133">
        <f t="shared" ref="AK233:AK244" si="78">AI233-AJ233</f>
        <v>0</v>
      </c>
      <c r="AL233" s="132"/>
      <c r="AM233" s="133"/>
      <c r="AN233" s="246">
        <v>44841</v>
      </c>
      <c r="AO233" s="137"/>
      <c r="AP233" s="97"/>
      <c r="AQ233" s="97"/>
      <c r="AR233" s="97"/>
      <c r="AS233" s="97"/>
      <c r="AT233" s="97"/>
      <c r="AU233" s="97"/>
      <c r="AV233" s="97"/>
      <c r="AW233" s="97"/>
      <c r="AX233" s="97"/>
      <c r="AY233" s="97"/>
      <c r="AZ233" s="97"/>
      <c r="BA233" s="97"/>
      <c r="BB233" s="97"/>
      <c r="BC233" s="97"/>
      <c r="BD233" s="97"/>
      <c r="BE233" s="97"/>
    </row>
    <row r="234" s="115" customFormat="1" customHeight="1" spans="1:57">
      <c r="A234" s="115" t="s">
        <v>4090</v>
      </c>
      <c r="B234" s="111" t="s">
        <v>4091</v>
      </c>
      <c r="C234" s="554" t="s">
        <v>4092</v>
      </c>
      <c r="D234" s="121" t="s">
        <v>4093</v>
      </c>
      <c r="E234" s="266">
        <v>19937109277</v>
      </c>
      <c r="F234" s="267">
        <v>4</v>
      </c>
      <c r="G234" s="268">
        <v>4108</v>
      </c>
      <c r="H234" s="268">
        <v>11.16</v>
      </c>
      <c r="I234" s="274" t="s">
        <v>2665</v>
      </c>
      <c r="J234" s="113" t="s">
        <v>4094</v>
      </c>
      <c r="K234" s="266">
        <v>12.95</v>
      </c>
      <c r="L234" s="266" t="s">
        <v>2711</v>
      </c>
      <c r="M234" s="275" t="s">
        <v>2799</v>
      </c>
      <c r="N234" s="113" t="s">
        <v>56</v>
      </c>
      <c r="O234" s="113"/>
      <c r="P234" s="113"/>
      <c r="Q234" s="113">
        <v>19823.7065637066</v>
      </c>
      <c r="R234" s="113">
        <v>256717</v>
      </c>
      <c r="S234" s="280">
        <v>256717</v>
      </c>
      <c r="T234" s="281">
        <f t="shared" si="75"/>
        <v>0</v>
      </c>
      <c r="U234" s="280"/>
      <c r="V234" s="280"/>
      <c r="W234" s="280"/>
      <c r="X234" s="280"/>
      <c r="Y234" s="113"/>
      <c r="Z234" s="113"/>
      <c r="AA234" s="275"/>
      <c r="AB234" s="113"/>
      <c r="AC234" s="113"/>
      <c r="AD234" s="113"/>
      <c r="AE234" s="133"/>
      <c r="AG234" s="133"/>
      <c r="AH234" s="133"/>
      <c r="AI234" s="132">
        <f t="shared" si="76"/>
        <v>256717</v>
      </c>
      <c r="AJ234" s="132">
        <f t="shared" si="77"/>
        <v>256717</v>
      </c>
      <c r="AK234" s="133">
        <f t="shared" si="78"/>
        <v>0</v>
      </c>
      <c r="AL234" s="132"/>
      <c r="AM234" s="133"/>
      <c r="AN234" s="246">
        <v>44841</v>
      </c>
      <c r="AO234" s="137"/>
      <c r="AP234" s="97"/>
      <c r="AQ234" s="97"/>
      <c r="AR234" s="97"/>
      <c r="AS234" s="97"/>
      <c r="AT234" s="97"/>
      <c r="AU234" s="97"/>
      <c r="AV234" s="97"/>
      <c r="AW234" s="97"/>
      <c r="AX234" s="97"/>
      <c r="AY234" s="97"/>
      <c r="AZ234" s="97"/>
      <c r="BA234" s="97"/>
      <c r="BB234" s="97"/>
      <c r="BC234" s="97"/>
      <c r="BD234" s="97"/>
      <c r="BE234" s="97"/>
    </row>
    <row r="235" s="115" customFormat="1" customHeight="1" spans="1:57">
      <c r="A235" s="115" t="s">
        <v>4095</v>
      </c>
      <c r="B235" s="111" t="s">
        <v>4096</v>
      </c>
      <c r="C235" s="554" t="s">
        <v>4097</v>
      </c>
      <c r="D235" s="121" t="s">
        <v>4098</v>
      </c>
      <c r="E235" s="266">
        <v>15137180299</v>
      </c>
      <c r="F235" s="267">
        <v>3</v>
      </c>
      <c r="G235" s="268">
        <v>361</v>
      </c>
      <c r="H235" s="268">
        <v>18.52</v>
      </c>
      <c r="I235" s="274" t="s">
        <v>2665</v>
      </c>
      <c r="J235" s="113" t="s">
        <v>4099</v>
      </c>
      <c r="K235" s="266">
        <v>18.38</v>
      </c>
      <c r="L235" s="266" t="s">
        <v>2711</v>
      </c>
      <c r="M235" s="275" t="s">
        <v>2799</v>
      </c>
      <c r="N235" s="113" t="s">
        <v>56</v>
      </c>
      <c r="O235" s="113"/>
      <c r="P235" s="113"/>
      <c r="Q235" s="113">
        <v>22880.1414581066</v>
      </c>
      <c r="R235" s="113">
        <v>420537</v>
      </c>
      <c r="S235" s="280">
        <v>420537</v>
      </c>
      <c r="T235" s="281">
        <f t="shared" si="75"/>
        <v>0</v>
      </c>
      <c r="U235" s="280"/>
      <c r="V235" s="280"/>
      <c r="W235" s="280"/>
      <c r="X235" s="280"/>
      <c r="Y235" s="113"/>
      <c r="Z235" s="113"/>
      <c r="AA235" s="275"/>
      <c r="AB235" s="113"/>
      <c r="AC235" s="113"/>
      <c r="AD235" s="113"/>
      <c r="AE235" s="133"/>
      <c r="AF235" s="115" t="s">
        <v>3075</v>
      </c>
      <c r="AG235" s="133"/>
      <c r="AH235" s="133"/>
      <c r="AI235" s="132">
        <f t="shared" si="76"/>
        <v>420537</v>
      </c>
      <c r="AJ235" s="132">
        <f t="shared" si="77"/>
        <v>420537</v>
      </c>
      <c r="AK235" s="133">
        <f t="shared" si="78"/>
        <v>0</v>
      </c>
      <c r="AL235" s="132"/>
      <c r="AM235" s="133"/>
      <c r="AN235" s="246">
        <v>44841</v>
      </c>
      <c r="AO235" s="137"/>
      <c r="AP235" s="97"/>
      <c r="AQ235" s="97"/>
      <c r="AR235" s="97"/>
      <c r="AS235" s="97"/>
      <c r="AT235" s="97"/>
      <c r="AU235" s="97"/>
      <c r="AV235" s="97"/>
      <c r="AW235" s="97"/>
      <c r="AX235" s="97"/>
      <c r="AY235" s="97"/>
      <c r="AZ235" s="97"/>
      <c r="BA235" s="97"/>
      <c r="BB235" s="97"/>
      <c r="BC235" s="97"/>
      <c r="BD235" s="97"/>
      <c r="BE235" s="97"/>
    </row>
    <row r="236" s="115" customFormat="1" customHeight="1" spans="1:57">
      <c r="A236" s="115" t="s">
        <v>4100</v>
      </c>
      <c r="B236" s="111" t="s">
        <v>4101</v>
      </c>
      <c r="C236" s="111" t="s">
        <v>4102</v>
      </c>
      <c r="D236" s="121" t="s">
        <v>4103</v>
      </c>
      <c r="E236" s="266">
        <v>15082963000</v>
      </c>
      <c r="F236" s="267">
        <v>3</v>
      </c>
      <c r="G236" s="268">
        <v>367</v>
      </c>
      <c r="H236" s="268">
        <v>43.27</v>
      </c>
      <c r="I236" s="274" t="s">
        <v>2657</v>
      </c>
      <c r="J236" s="113" t="s">
        <v>4104</v>
      </c>
      <c r="K236" s="266">
        <v>43.71</v>
      </c>
      <c r="L236" s="266" t="s">
        <v>4105</v>
      </c>
      <c r="M236" s="275" t="s">
        <v>4105</v>
      </c>
      <c r="N236" s="113" t="s">
        <v>66</v>
      </c>
      <c r="O236" s="113"/>
      <c r="P236" s="113"/>
      <c r="Q236" s="113">
        <v>31390.57</v>
      </c>
      <c r="R236" s="113">
        <v>1372082</v>
      </c>
      <c r="S236" s="280">
        <v>692082</v>
      </c>
      <c r="T236" s="281">
        <f t="shared" si="75"/>
        <v>680000</v>
      </c>
      <c r="U236" s="280"/>
      <c r="V236" s="280"/>
      <c r="W236" s="280"/>
      <c r="X236" s="280"/>
      <c r="Y236" s="113"/>
      <c r="Z236" s="113"/>
      <c r="AA236" s="275"/>
      <c r="AB236" s="113"/>
      <c r="AC236" s="113"/>
      <c r="AD236" s="113"/>
      <c r="AE236" s="133"/>
      <c r="AG236" s="133"/>
      <c r="AH236" s="133"/>
      <c r="AI236" s="132">
        <f t="shared" si="76"/>
        <v>692082</v>
      </c>
      <c r="AJ236" s="132">
        <f t="shared" si="77"/>
        <v>692082</v>
      </c>
      <c r="AK236" s="133">
        <f t="shared" si="78"/>
        <v>0</v>
      </c>
      <c r="AL236" s="132"/>
      <c r="AM236" s="133"/>
      <c r="AN236" s="246">
        <v>44841</v>
      </c>
      <c r="AO236" s="137"/>
      <c r="AP236" s="97"/>
      <c r="AQ236" s="97"/>
      <c r="AR236" s="97"/>
      <c r="AS236" s="97"/>
      <c r="AT236" s="97"/>
      <c r="AU236" s="97"/>
      <c r="AV236" s="97"/>
      <c r="AW236" s="97"/>
      <c r="AX236" s="97"/>
      <c r="AY236" s="97"/>
      <c r="AZ236" s="97"/>
      <c r="BA236" s="97"/>
      <c r="BB236" s="97"/>
      <c r="BC236" s="97"/>
      <c r="BD236" s="97"/>
      <c r="BE236" s="97"/>
    </row>
    <row r="237" s="115" customFormat="1" customHeight="1" spans="1:57">
      <c r="A237" s="115" t="s">
        <v>4106</v>
      </c>
      <c r="B237" s="111" t="s">
        <v>2092</v>
      </c>
      <c r="C237" s="111" t="s">
        <v>4107</v>
      </c>
      <c r="D237" s="121" t="s">
        <v>4108</v>
      </c>
      <c r="E237" s="266">
        <v>13462785678</v>
      </c>
      <c r="F237" s="267">
        <v>3</v>
      </c>
      <c r="G237" s="268">
        <v>368</v>
      </c>
      <c r="H237" s="268">
        <v>43.27</v>
      </c>
      <c r="I237" s="274" t="s">
        <v>2657</v>
      </c>
      <c r="J237" s="113" t="s">
        <v>4109</v>
      </c>
      <c r="K237" s="266">
        <v>43.71</v>
      </c>
      <c r="L237" s="266" t="s">
        <v>4105</v>
      </c>
      <c r="M237" s="275" t="s">
        <v>4105</v>
      </c>
      <c r="N237" s="113" t="s">
        <v>66</v>
      </c>
      <c r="O237" s="113"/>
      <c r="P237" s="113"/>
      <c r="Q237" s="113">
        <v>31390.57</v>
      </c>
      <c r="R237" s="113">
        <v>1372082</v>
      </c>
      <c r="S237" s="280">
        <v>692082</v>
      </c>
      <c r="T237" s="281">
        <f t="shared" si="75"/>
        <v>680000</v>
      </c>
      <c r="U237" s="280"/>
      <c r="V237" s="280"/>
      <c r="W237" s="280"/>
      <c r="X237" s="280"/>
      <c r="Y237" s="113"/>
      <c r="Z237" s="113"/>
      <c r="AA237" s="275"/>
      <c r="AB237" s="113"/>
      <c r="AC237" s="113"/>
      <c r="AD237" s="113"/>
      <c r="AE237" s="133"/>
      <c r="AG237" s="133"/>
      <c r="AH237" s="133"/>
      <c r="AI237" s="132">
        <f t="shared" si="76"/>
        <v>692082</v>
      </c>
      <c r="AJ237" s="132">
        <f t="shared" si="77"/>
        <v>692082</v>
      </c>
      <c r="AK237" s="133">
        <f t="shared" si="78"/>
        <v>0</v>
      </c>
      <c r="AL237" s="132"/>
      <c r="AM237" s="133"/>
      <c r="AN237" s="246">
        <v>44841</v>
      </c>
      <c r="AO237" s="137"/>
      <c r="AP237" s="97"/>
      <c r="AQ237" s="97"/>
      <c r="AR237" s="97"/>
      <c r="AS237" s="97"/>
      <c r="AT237" s="97"/>
      <c r="AU237" s="97"/>
      <c r="AV237" s="97"/>
      <c r="AW237" s="97"/>
      <c r="AX237" s="97"/>
      <c r="AY237" s="97"/>
      <c r="AZ237" s="97"/>
      <c r="BA237" s="97"/>
      <c r="BB237" s="97"/>
      <c r="BC237" s="97"/>
      <c r="BD237" s="97"/>
      <c r="BE237" s="97"/>
    </row>
    <row r="238" s="115" customFormat="1" customHeight="1" spans="1:57">
      <c r="A238" s="115" t="s">
        <v>4110</v>
      </c>
      <c r="B238" s="111" t="s">
        <v>2092</v>
      </c>
      <c r="C238" s="554" t="s">
        <v>4107</v>
      </c>
      <c r="D238" s="121" t="s">
        <v>4108</v>
      </c>
      <c r="E238" s="266">
        <v>13462785678</v>
      </c>
      <c r="F238" s="267">
        <v>1</v>
      </c>
      <c r="G238" s="268">
        <v>1553</v>
      </c>
      <c r="H238" s="268">
        <v>25.34</v>
      </c>
      <c r="I238" s="274" t="s">
        <v>2657</v>
      </c>
      <c r="J238" s="113" t="s">
        <v>4111</v>
      </c>
      <c r="K238" s="266">
        <v>25.52</v>
      </c>
      <c r="L238" s="266" t="s">
        <v>4112</v>
      </c>
      <c r="M238" s="275" t="s">
        <v>4113</v>
      </c>
      <c r="N238" s="113" t="s">
        <v>66</v>
      </c>
      <c r="O238" s="113"/>
      <c r="P238" s="113"/>
      <c r="Q238" s="113">
        <v>47851.1</v>
      </c>
      <c r="R238" s="113">
        <v>1212547</v>
      </c>
      <c r="S238" s="280">
        <v>612547</v>
      </c>
      <c r="T238" s="281">
        <f t="shared" si="75"/>
        <v>600000</v>
      </c>
      <c r="U238" s="280"/>
      <c r="V238" s="280"/>
      <c r="W238" s="280"/>
      <c r="X238" s="280"/>
      <c r="Y238" s="113"/>
      <c r="Z238" s="113"/>
      <c r="AA238" s="275"/>
      <c r="AB238" s="113"/>
      <c r="AC238" s="113"/>
      <c r="AD238" s="113"/>
      <c r="AE238" s="133"/>
      <c r="AG238" s="133"/>
      <c r="AH238" s="133"/>
      <c r="AI238" s="132">
        <f t="shared" si="76"/>
        <v>612547</v>
      </c>
      <c r="AJ238" s="132">
        <f t="shared" si="77"/>
        <v>612547</v>
      </c>
      <c r="AK238" s="133">
        <f t="shared" si="78"/>
        <v>0</v>
      </c>
      <c r="AL238" s="132"/>
      <c r="AM238" s="133"/>
      <c r="AN238" s="246">
        <v>44841</v>
      </c>
      <c r="AO238" s="137"/>
      <c r="AP238" s="97"/>
      <c r="AQ238" s="97"/>
      <c r="AR238" s="97"/>
      <c r="AS238" s="97"/>
      <c r="AT238" s="97"/>
      <c r="AU238" s="97"/>
      <c r="AV238" s="97"/>
      <c r="AW238" s="97"/>
      <c r="AX238" s="97"/>
      <c r="AY238" s="97"/>
      <c r="AZ238" s="97"/>
      <c r="BA238" s="97"/>
      <c r="BB238" s="97"/>
      <c r="BC238" s="97"/>
      <c r="BD238" s="97"/>
      <c r="BE238" s="97"/>
    </row>
    <row r="239" s="115" customFormat="1" customHeight="1" spans="1:57">
      <c r="A239" s="115" t="s">
        <v>4114</v>
      </c>
      <c r="B239" s="111" t="s">
        <v>4115</v>
      </c>
      <c r="C239" s="554" t="s">
        <v>4116</v>
      </c>
      <c r="D239" s="121" t="s">
        <v>4117</v>
      </c>
      <c r="E239" s="266">
        <v>13721438235</v>
      </c>
      <c r="F239" s="267">
        <v>4</v>
      </c>
      <c r="G239" s="268">
        <v>4179</v>
      </c>
      <c r="H239" s="268">
        <v>34.63</v>
      </c>
      <c r="I239" s="274" t="s">
        <v>2657</v>
      </c>
      <c r="J239" s="113" t="s">
        <v>4118</v>
      </c>
      <c r="K239" s="266">
        <v>34.78</v>
      </c>
      <c r="L239" s="266" t="s">
        <v>3740</v>
      </c>
      <c r="M239" s="275" t="s">
        <v>2928</v>
      </c>
      <c r="N239" s="113" t="s">
        <v>66</v>
      </c>
      <c r="O239" s="113"/>
      <c r="P239" s="113"/>
      <c r="Q239" s="113">
        <v>24889.76</v>
      </c>
      <c r="R239" s="113">
        <v>861932</v>
      </c>
      <c r="S239" s="280">
        <v>621932</v>
      </c>
      <c r="T239" s="281"/>
      <c r="U239" s="280">
        <v>240000</v>
      </c>
      <c r="V239" s="280">
        <v>2250</v>
      </c>
      <c r="W239" s="280">
        <v>550</v>
      </c>
      <c r="X239" s="280"/>
      <c r="Y239" s="113" t="s">
        <v>2669</v>
      </c>
      <c r="Z239" s="113" t="s">
        <v>48</v>
      </c>
      <c r="AA239" s="275">
        <v>44021</v>
      </c>
      <c r="AB239" s="113"/>
      <c r="AC239" s="113">
        <v>1244</v>
      </c>
      <c r="AD239" s="113"/>
      <c r="AE239" s="133"/>
      <c r="AG239" s="133"/>
      <c r="AH239" s="133"/>
      <c r="AI239" s="132">
        <f t="shared" si="76"/>
        <v>865976</v>
      </c>
      <c r="AJ239" s="132">
        <f t="shared" si="77"/>
        <v>864732</v>
      </c>
      <c r="AK239" s="133">
        <f t="shared" si="78"/>
        <v>1244</v>
      </c>
      <c r="AL239" s="132"/>
      <c r="AM239" s="133"/>
      <c r="AN239" s="246">
        <v>44841</v>
      </c>
      <c r="AO239" s="137"/>
      <c r="AP239" s="97"/>
      <c r="AQ239" s="97"/>
      <c r="AR239" s="97"/>
      <c r="AS239" s="97"/>
      <c r="AT239" s="97"/>
      <c r="AU239" s="97"/>
      <c r="AV239" s="97"/>
      <c r="AW239" s="97"/>
      <c r="AX239" s="97"/>
      <c r="AY239" s="97"/>
      <c r="AZ239" s="97"/>
      <c r="BA239" s="97"/>
      <c r="BB239" s="97"/>
      <c r="BC239" s="97"/>
      <c r="BD239" s="97"/>
      <c r="BE239" s="97"/>
    </row>
    <row r="240" s="115" customFormat="1" customHeight="1" spans="1:57">
      <c r="A240" s="115" t="s">
        <v>4119</v>
      </c>
      <c r="B240" s="111" t="s">
        <v>4120</v>
      </c>
      <c r="C240" s="111" t="s">
        <v>4121</v>
      </c>
      <c r="D240" s="121" t="s">
        <v>4122</v>
      </c>
      <c r="E240" s="266">
        <v>18348372228</v>
      </c>
      <c r="F240" s="267">
        <v>4</v>
      </c>
      <c r="G240" s="268">
        <v>411</v>
      </c>
      <c r="H240" s="268">
        <v>25.15</v>
      </c>
      <c r="I240" s="274" t="s">
        <v>2657</v>
      </c>
      <c r="J240" s="113" t="s">
        <v>4123</v>
      </c>
      <c r="K240" s="266">
        <v>21.04</v>
      </c>
      <c r="L240" s="266" t="s">
        <v>2659</v>
      </c>
      <c r="M240" s="275" t="s">
        <v>3016</v>
      </c>
      <c r="N240" s="113" t="s">
        <v>56</v>
      </c>
      <c r="O240" s="113"/>
      <c r="P240" s="113"/>
      <c r="Q240" s="113">
        <v>25253.37</v>
      </c>
      <c r="R240" s="113">
        <v>531331</v>
      </c>
      <c r="S240" s="280">
        <v>531331</v>
      </c>
      <c r="T240" s="281">
        <f t="shared" ref="T240:T254" si="79">R240-S240</f>
        <v>0</v>
      </c>
      <c r="U240" s="280"/>
      <c r="V240" s="280"/>
      <c r="W240" s="280"/>
      <c r="X240" s="280"/>
      <c r="Y240" s="113"/>
      <c r="Z240" s="113"/>
      <c r="AA240" s="275"/>
      <c r="AB240" s="113"/>
      <c r="AC240" s="113"/>
      <c r="AD240" s="113"/>
      <c r="AE240" s="133"/>
      <c r="AG240" s="133"/>
      <c r="AH240" s="133"/>
      <c r="AI240" s="132">
        <f t="shared" si="76"/>
        <v>531331</v>
      </c>
      <c r="AJ240" s="132">
        <f t="shared" si="77"/>
        <v>531331</v>
      </c>
      <c r="AK240" s="133">
        <f t="shared" si="78"/>
        <v>0</v>
      </c>
      <c r="AL240" s="132"/>
      <c r="AM240" s="133"/>
      <c r="AN240" s="246">
        <v>44841</v>
      </c>
      <c r="AO240" s="137"/>
      <c r="AP240" s="97"/>
      <c r="AQ240" s="97"/>
      <c r="AR240" s="97"/>
      <c r="AS240" s="97"/>
      <c r="AT240" s="97"/>
      <c r="AU240" s="97"/>
      <c r="AV240" s="97"/>
      <c r="AW240" s="97"/>
      <c r="AX240" s="97"/>
      <c r="AY240" s="97"/>
      <c r="AZ240" s="97"/>
      <c r="BA240" s="97"/>
      <c r="BB240" s="97"/>
      <c r="BC240" s="97"/>
      <c r="BD240" s="97"/>
      <c r="BE240" s="97"/>
    </row>
    <row r="241" s="115" customFormat="1" customHeight="1" spans="1:57">
      <c r="A241" s="115" t="s">
        <v>4124</v>
      </c>
      <c r="B241" s="111" t="s">
        <v>4125</v>
      </c>
      <c r="C241" s="111" t="s">
        <v>4126</v>
      </c>
      <c r="D241" s="121" t="s">
        <v>4127</v>
      </c>
      <c r="E241" s="266">
        <v>13949028235</v>
      </c>
      <c r="F241" s="267">
        <v>3</v>
      </c>
      <c r="G241" s="268">
        <v>3482</v>
      </c>
      <c r="H241" s="268">
        <v>20.27</v>
      </c>
      <c r="I241" s="274" t="s">
        <v>2657</v>
      </c>
      <c r="J241" s="113" t="s">
        <v>4128</v>
      </c>
      <c r="K241" s="266">
        <v>17.16</v>
      </c>
      <c r="L241" s="266" t="s">
        <v>3558</v>
      </c>
      <c r="M241" s="275" t="s">
        <v>3218</v>
      </c>
      <c r="N241" s="113" t="s">
        <v>66</v>
      </c>
      <c r="O241" s="113"/>
      <c r="P241" s="113"/>
      <c r="Q241" s="113">
        <v>31468.53</v>
      </c>
      <c r="R241" s="113">
        <v>540000</v>
      </c>
      <c r="S241" s="280">
        <v>270000</v>
      </c>
      <c r="T241" s="281">
        <f t="shared" si="79"/>
        <v>270000</v>
      </c>
      <c r="U241" s="280"/>
      <c r="V241" s="280"/>
      <c r="W241" s="280"/>
      <c r="X241" s="280"/>
      <c r="Y241" s="113"/>
      <c r="Z241" s="113"/>
      <c r="AA241" s="275"/>
      <c r="AB241" s="113"/>
      <c r="AC241" s="113"/>
      <c r="AD241" s="113"/>
      <c r="AE241" s="133"/>
      <c r="AF241" s="115" t="s">
        <v>3075</v>
      </c>
      <c r="AG241" s="133"/>
      <c r="AH241" s="133"/>
      <c r="AI241" s="132">
        <f t="shared" si="76"/>
        <v>270000</v>
      </c>
      <c r="AJ241" s="132">
        <f t="shared" si="77"/>
        <v>270000</v>
      </c>
      <c r="AK241" s="133">
        <f t="shared" si="78"/>
        <v>0</v>
      </c>
      <c r="AL241" s="132"/>
      <c r="AM241" s="133"/>
      <c r="AN241" s="246">
        <v>44841</v>
      </c>
      <c r="AO241" s="137"/>
      <c r="AP241" s="97"/>
      <c r="AQ241" s="97"/>
      <c r="AR241" s="97"/>
      <c r="AS241" s="97"/>
      <c r="AT241" s="97"/>
      <c r="AU241" s="97"/>
      <c r="AV241" s="97"/>
      <c r="AW241" s="97"/>
      <c r="AX241" s="97"/>
      <c r="AY241" s="97"/>
      <c r="AZ241" s="97"/>
      <c r="BA241" s="97"/>
      <c r="BB241" s="97"/>
      <c r="BC241" s="97"/>
      <c r="BD241" s="97"/>
      <c r="BE241" s="97"/>
    </row>
    <row r="242" s="115" customFormat="1" customHeight="1" spans="1:57">
      <c r="A242" s="115" t="s">
        <v>4129</v>
      </c>
      <c r="B242" s="111" t="s">
        <v>4130</v>
      </c>
      <c r="C242" s="554" t="s">
        <v>4131</v>
      </c>
      <c r="D242" s="121" t="s">
        <v>4132</v>
      </c>
      <c r="E242" s="266">
        <v>15238649696</v>
      </c>
      <c r="F242" s="267">
        <v>2</v>
      </c>
      <c r="G242" s="268">
        <v>2259</v>
      </c>
      <c r="H242" s="268">
        <v>20.4</v>
      </c>
      <c r="I242" s="274" t="s">
        <v>2665</v>
      </c>
      <c r="J242" s="113" t="s">
        <v>4133</v>
      </c>
      <c r="K242" s="266">
        <v>21.6</v>
      </c>
      <c r="L242" s="266" t="s">
        <v>2711</v>
      </c>
      <c r="M242" s="275" t="s">
        <v>3402</v>
      </c>
      <c r="N242" s="113" t="s">
        <v>56</v>
      </c>
      <c r="O242" s="113"/>
      <c r="P242" s="113"/>
      <c r="Q242" s="113">
        <v>28476.8518518519</v>
      </c>
      <c r="R242" s="113">
        <v>580928</v>
      </c>
      <c r="S242" s="280">
        <v>580928</v>
      </c>
      <c r="T242" s="281">
        <f t="shared" si="79"/>
        <v>0</v>
      </c>
      <c r="U242" s="280"/>
      <c r="V242" s="280">
        <v>1326</v>
      </c>
      <c r="W242" s="280">
        <v>550</v>
      </c>
      <c r="X242" s="280">
        <v>32296</v>
      </c>
      <c r="Y242" s="113" t="s">
        <v>2669</v>
      </c>
      <c r="Z242" s="113"/>
      <c r="AA242" s="275"/>
      <c r="AB242" s="113"/>
      <c r="AC242" s="113"/>
      <c r="AD242" s="113"/>
      <c r="AE242" s="133"/>
      <c r="AG242" s="133"/>
      <c r="AH242" s="133"/>
      <c r="AI242" s="132">
        <f t="shared" si="76"/>
        <v>615100</v>
      </c>
      <c r="AJ242" s="132">
        <f t="shared" si="77"/>
        <v>615100</v>
      </c>
      <c r="AK242" s="133">
        <f t="shared" si="78"/>
        <v>0</v>
      </c>
      <c r="AL242" s="132"/>
      <c r="AM242" s="133"/>
      <c r="AN242" s="246">
        <v>44841</v>
      </c>
      <c r="AO242" s="137"/>
      <c r="AP242" s="97"/>
      <c r="AQ242" s="97"/>
      <c r="AR242" s="97"/>
      <c r="AS242" s="97"/>
      <c r="AT242" s="97"/>
      <c r="AU242" s="97"/>
      <c r="AV242" s="97"/>
      <c r="AW242" s="97"/>
      <c r="AX242" s="97"/>
      <c r="AY242" s="97"/>
      <c r="AZ242" s="97"/>
      <c r="BA242" s="97"/>
      <c r="BB242" s="97"/>
      <c r="BC242" s="97"/>
      <c r="BD242" s="97"/>
      <c r="BE242" s="97"/>
    </row>
    <row r="243" s="115" customFormat="1" customHeight="1" spans="1:57">
      <c r="A243" s="115" t="s">
        <v>4134</v>
      </c>
      <c r="B243" s="111" t="s">
        <v>4135</v>
      </c>
      <c r="C243" s="111" t="s">
        <v>4136</v>
      </c>
      <c r="D243" s="121" t="s">
        <v>4137</v>
      </c>
      <c r="E243" s="266">
        <v>15238091223</v>
      </c>
      <c r="F243" s="267">
        <v>1</v>
      </c>
      <c r="G243" s="268">
        <v>1795</v>
      </c>
      <c r="H243" s="268">
        <v>15.24</v>
      </c>
      <c r="I243" s="274" t="s">
        <v>2657</v>
      </c>
      <c r="J243" s="113" t="s">
        <v>4138</v>
      </c>
      <c r="K243" s="266">
        <v>12.78</v>
      </c>
      <c r="L243" s="266" t="s">
        <v>3042</v>
      </c>
      <c r="M243" s="275" t="s">
        <v>4139</v>
      </c>
      <c r="N243" s="113" t="s">
        <v>66</v>
      </c>
      <c r="O243" s="113"/>
      <c r="P243" s="113"/>
      <c r="Q243" s="113">
        <v>49327.54</v>
      </c>
      <c r="R243" s="113">
        <v>630406</v>
      </c>
      <c r="S243" s="280">
        <v>320406</v>
      </c>
      <c r="T243" s="281">
        <f t="shared" si="79"/>
        <v>310000</v>
      </c>
      <c r="U243" s="280"/>
      <c r="V243" s="280"/>
      <c r="W243" s="280"/>
      <c r="X243" s="280"/>
      <c r="Y243" s="113"/>
      <c r="Z243" s="113"/>
      <c r="AA243" s="275"/>
      <c r="AB243" s="113"/>
      <c r="AC243" s="113"/>
      <c r="AD243" s="113"/>
      <c r="AE243" s="133"/>
      <c r="AG243" s="133"/>
      <c r="AH243" s="133"/>
      <c r="AI243" s="132">
        <f t="shared" si="76"/>
        <v>320406</v>
      </c>
      <c r="AJ243" s="132">
        <f t="shared" si="77"/>
        <v>320406</v>
      </c>
      <c r="AK243" s="133">
        <f t="shared" si="78"/>
        <v>0</v>
      </c>
      <c r="AL243" s="132"/>
      <c r="AM243" s="133"/>
      <c r="AN243" s="246">
        <v>44841</v>
      </c>
      <c r="AO243" s="137"/>
      <c r="AP243" s="97"/>
      <c r="AQ243" s="97"/>
      <c r="AR243" s="97"/>
      <c r="AS243" s="97"/>
      <c r="AT243" s="97"/>
      <c r="AU243" s="97"/>
      <c r="AV243" s="97"/>
      <c r="AW243" s="97"/>
      <c r="AX243" s="97"/>
      <c r="AY243" s="97"/>
      <c r="AZ243" s="97"/>
      <c r="BA243" s="97"/>
      <c r="BB243" s="97"/>
      <c r="BC243" s="97"/>
      <c r="BD243" s="97"/>
      <c r="BE243" s="97"/>
    </row>
    <row r="244" s="115" customFormat="1" customHeight="1" spans="1:57">
      <c r="A244" s="115" t="s">
        <v>4140</v>
      </c>
      <c r="B244" s="111" t="s">
        <v>4141</v>
      </c>
      <c r="C244" s="554" t="s">
        <v>4142</v>
      </c>
      <c r="D244" s="121" t="s">
        <v>4143</v>
      </c>
      <c r="E244" s="266">
        <v>13333823337</v>
      </c>
      <c r="F244" s="267">
        <v>4</v>
      </c>
      <c r="G244" s="268">
        <v>4176</v>
      </c>
      <c r="H244" s="268">
        <v>31.21</v>
      </c>
      <c r="I244" s="274" t="s">
        <v>2657</v>
      </c>
      <c r="J244" s="113" t="s">
        <v>4144</v>
      </c>
      <c r="K244" s="266">
        <v>47.31</v>
      </c>
      <c r="L244" s="266" t="s">
        <v>3740</v>
      </c>
      <c r="M244" s="275" t="s">
        <v>4145</v>
      </c>
      <c r="N244" s="113" t="s">
        <v>56</v>
      </c>
      <c r="O244" s="113"/>
      <c r="P244" s="113"/>
      <c r="Q244" s="113">
        <v>24889.79</v>
      </c>
      <c r="R244" s="113">
        <v>776810</v>
      </c>
      <c r="S244" s="280">
        <v>776810</v>
      </c>
      <c r="T244" s="281">
        <f t="shared" si="79"/>
        <v>0</v>
      </c>
      <c r="U244" s="280"/>
      <c r="V244" s="280">
        <v>2028</v>
      </c>
      <c r="W244" s="280">
        <v>550</v>
      </c>
      <c r="X244" s="280">
        <v>48148</v>
      </c>
      <c r="Y244" s="113"/>
      <c r="Z244" s="113"/>
      <c r="AA244" s="275"/>
      <c r="AB244" s="113"/>
      <c r="AC244" s="113"/>
      <c r="AD244" s="113"/>
      <c r="AE244" s="133"/>
      <c r="AG244" s="133"/>
      <c r="AH244" s="133"/>
      <c r="AI244" s="132">
        <f t="shared" si="76"/>
        <v>827536</v>
      </c>
      <c r="AJ244" s="132">
        <f t="shared" si="77"/>
        <v>827536</v>
      </c>
      <c r="AK244" s="133">
        <f t="shared" si="78"/>
        <v>0</v>
      </c>
      <c r="AL244" s="132"/>
      <c r="AM244" s="133"/>
      <c r="AN244" s="246">
        <v>44841</v>
      </c>
      <c r="AO244" s="137"/>
      <c r="AP244" s="97"/>
      <c r="AQ244" s="97"/>
      <c r="AR244" s="97"/>
      <c r="AS244" s="97"/>
      <c r="AT244" s="97"/>
      <c r="AU244" s="97"/>
      <c r="AV244" s="97"/>
      <c r="AW244" s="97"/>
      <c r="AX244" s="97"/>
      <c r="AY244" s="97"/>
      <c r="AZ244" s="97"/>
      <c r="BA244" s="97"/>
      <c r="BB244" s="97"/>
      <c r="BC244" s="97"/>
      <c r="BD244" s="97"/>
      <c r="BE244" s="97"/>
    </row>
    <row r="245" s="115" customFormat="1" customHeight="1" spans="1:57">
      <c r="A245" s="115" t="s">
        <v>4146</v>
      </c>
      <c r="B245" s="111" t="s">
        <v>4147</v>
      </c>
      <c r="C245" s="111" t="s">
        <v>4148</v>
      </c>
      <c r="D245" s="121" t="s">
        <v>4149</v>
      </c>
      <c r="E245" s="266">
        <v>13838285010</v>
      </c>
      <c r="F245" s="267">
        <v>4</v>
      </c>
      <c r="G245" s="268">
        <v>421</v>
      </c>
      <c r="H245" s="268">
        <v>30.01</v>
      </c>
      <c r="I245" s="274" t="s">
        <v>2665</v>
      </c>
      <c r="J245" s="113" t="s">
        <v>4150</v>
      </c>
      <c r="K245" s="266">
        <v>31.83</v>
      </c>
      <c r="L245" s="266" t="s">
        <v>3401</v>
      </c>
      <c r="M245" s="275" t="s">
        <v>3401</v>
      </c>
      <c r="N245" s="113" t="s">
        <v>56</v>
      </c>
      <c r="O245" s="113"/>
      <c r="P245" s="113"/>
      <c r="Q245" s="113">
        <v>21991.83</v>
      </c>
      <c r="R245" s="113">
        <v>700000</v>
      </c>
      <c r="S245" s="280">
        <v>700000</v>
      </c>
      <c r="T245" s="281">
        <f t="shared" si="79"/>
        <v>0</v>
      </c>
      <c r="U245" s="280"/>
      <c r="V245" s="280"/>
      <c r="W245" s="280"/>
      <c r="X245" s="280"/>
      <c r="Y245" s="113"/>
      <c r="Z245" s="113"/>
      <c r="AA245" s="275"/>
      <c r="AB245" s="113"/>
      <c r="AC245" s="113"/>
      <c r="AD245" s="113"/>
      <c r="AE245" s="133"/>
      <c r="AG245" s="133"/>
      <c r="AH245" s="133"/>
      <c r="AI245" s="132">
        <f t="shared" ref="AI245:AI258" si="80">S245+U245+V245+W245+X245+AC245+AD245+AE245</f>
        <v>700000</v>
      </c>
      <c r="AJ245" s="132">
        <f t="shared" ref="AJ245:AJ258" si="81">S245+U245+V245+W245+X245</f>
        <v>700000</v>
      </c>
      <c r="AK245" s="133">
        <f t="shared" ref="AK245:AK258" si="82">AI245-AJ245</f>
        <v>0</v>
      </c>
      <c r="AL245" s="132"/>
      <c r="AM245" s="133"/>
      <c r="AN245" s="246">
        <v>44841</v>
      </c>
      <c r="AO245" s="137"/>
      <c r="AP245" s="97"/>
      <c r="AQ245" s="97"/>
      <c r="AR245" s="97"/>
      <c r="AS245" s="97"/>
      <c r="AT245" s="97"/>
      <c r="AU245" s="97"/>
      <c r="AV245" s="97"/>
      <c r="AW245" s="97"/>
      <c r="AX245" s="97"/>
      <c r="AY245" s="97"/>
      <c r="AZ245" s="97"/>
      <c r="BA245" s="97"/>
      <c r="BB245" s="97"/>
      <c r="BC245" s="97"/>
      <c r="BD245" s="97"/>
      <c r="BE245" s="97"/>
    </row>
    <row r="246" s="115" customFormat="1" customHeight="1" spans="1:57">
      <c r="A246" s="115" t="s">
        <v>4151</v>
      </c>
      <c r="B246" s="111" t="s">
        <v>4152</v>
      </c>
      <c r="C246" s="111" t="s">
        <v>4153</v>
      </c>
      <c r="D246" s="121" t="s">
        <v>4154</v>
      </c>
      <c r="E246" s="266">
        <v>13223719433</v>
      </c>
      <c r="F246" s="267">
        <v>3</v>
      </c>
      <c r="G246" s="268">
        <v>3473</v>
      </c>
      <c r="H246" s="268">
        <v>20.5</v>
      </c>
      <c r="I246" s="274" t="s">
        <v>2657</v>
      </c>
      <c r="J246" s="113" t="s">
        <v>4155</v>
      </c>
      <c r="K246" s="266">
        <v>19.01</v>
      </c>
      <c r="L246" s="266" t="s">
        <v>3179</v>
      </c>
      <c r="M246" s="275" t="s">
        <v>4156</v>
      </c>
      <c r="N246" s="113" t="s">
        <v>66</v>
      </c>
      <c r="O246" s="113"/>
      <c r="P246" s="113"/>
      <c r="Q246" s="113">
        <v>31596.05</v>
      </c>
      <c r="R246" s="113">
        <v>600641</v>
      </c>
      <c r="S246" s="280">
        <v>300641</v>
      </c>
      <c r="T246" s="281">
        <f t="shared" si="79"/>
        <v>300000</v>
      </c>
      <c r="U246" s="280"/>
      <c r="V246" s="280"/>
      <c r="W246" s="280"/>
      <c r="X246" s="280"/>
      <c r="Y246" s="113"/>
      <c r="Z246" s="113"/>
      <c r="AA246" s="275"/>
      <c r="AB246" s="113" t="s">
        <v>4157</v>
      </c>
      <c r="AC246" s="113"/>
      <c r="AD246" s="113"/>
      <c r="AE246" s="133"/>
      <c r="AG246" s="133"/>
      <c r="AH246" s="133"/>
      <c r="AI246" s="132">
        <f t="shared" si="80"/>
        <v>300641</v>
      </c>
      <c r="AJ246" s="132">
        <f t="shared" si="81"/>
        <v>300641</v>
      </c>
      <c r="AK246" s="133">
        <f t="shared" si="82"/>
        <v>0</v>
      </c>
      <c r="AL246" s="132"/>
      <c r="AM246" s="133"/>
      <c r="AN246" s="246">
        <v>44841</v>
      </c>
      <c r="AO246" s="137"/>
      <c r="AP246" s="97"/>
      <c r="AQ246" s="97"/>
      <c r="AR246" s="97"/>
      <c r="AS246" s="97"/>
      <c r="AT246" s="97"/>
      <c r="AU246" s="97"/>
      <c r="AV246" s="97"/>
      <c r="AW246" s="97"/>
      <c r="AX246" s="97"/>
      <c r="AY246" s="97"/>
      <c r="AZ246" s="97"/>
      <c r="BA246" s="97"/>
      <c r="BB246" s="97"/>
      <c r="BC246" s="97"/>
      <c r="BD246" s="97"/>
      <c r="BE246" s="97"/>
    </row>
    <row r="247" s="115" customFormat="1" customHeight="1" spans="1:57">
      <c r="A247" s="115" t="s">
        <v>4158</v>
      </c>
      <c r="B247" s="111" t="s">
        <v>4159</v>
      </c>
      <c r="C247" s="554" t="s">
        <v>4160</v>
      </c>
      <c r="D247" s="121" t="s">
        <v>4161</v>
      </c>
      <c r="E247" s="266">
        <v>18939531993</v>
      </c>
      <c r="F247" s="267">
        <v>1</v>
      </c>
      <c r="G247" s="268">
        <v>1543</v>
      </c>
      <c r="H247" s="268">
        <v>25.31</v>
      </c>
      <c r="I247" s="274" t="s">
        <v>2657</v>
      </c>
      <c r="J247" s="113" t="s">
        <v>4162</v>
      </c>
      <c r="K247" s="266">
        <v>26.94</v>
      </c>
      <c r="L247" s="266" t="s">
        <v>2746</v>
      </c>
      <c r="M247" s="275" t="s">
        <v>4163</v>
      </c>
      <c r="N247" s="113" t="s">
        <v>56</v>
      </c>
      <c r="O247" s="113"/>
      <c r="P247" s="113"/>
      <c r="Q247" s="113">
        <v>46879.14</v>
      </c>
      <c r="R247" s="113">
        <v>1186511</v>
      </c>
      <c r="S247" s="280">
        <v>1186511</v>
      </c>
      <c r="T247" s="281">
        <f t="shared" si="79"/>
        <v>0</v>
      </c>
      <c r="U247" s="280"/>
      <c r="V247" s="280">
        <v>1645</v>
      </c>
      <c r="W247" s="280">
        <v>550</v>
      </c>
      <c r="X247" s="280"/>
      <c r="Y247" s="113"/>
      <c r="Z247" s="113"/>
      <c r="AA247" s="275"/>
      <c r="AB247" s="113"/>
      <c r="AC247" s="113"/>
      <c r="AD247" s="113"/>
      <c r="AE247" s="133"/>
      <c r="AG247" s="133"/>
      <c r="AH247" s="133"/>
      <c r="AI247" s="132">
        <f t="shared" si="80"/>
        <v>1188706</v>
      </c>
      <c r="AJ247" s="132">
        <f t="shared" si="81"/>
        <v>1188706</v>
      </c>
      <c r="AK247" s="133">
        <f t="shared" si="82"/>
        <v>0</v>
      </c>
      <c r="AL247" s="132"/>
      <c r="AM247" s="133"/>
      <c r="AN247" s="246">
        <v>44841</v>
      </c>
      <c r="AO247" s="137"/>
      <c r="AP247" s="97"/>
      <c r="AQ247" s="97"/>
      <c r="AR247" s="97"/>
      <c r="AS247" s="97"/>
      <c r="AT247" s="97"/>
      <c r="AU247" s="97"/>
      <c r="AV247" s="97"/>
      <c r="AW247" s="97"/>
      <c r="AX247" s="97"/>
      <c r="AY247" s="97"/>
      <c r="AZ247" s="97"/>
      <c r="BA247" s="97"/>
      <c r="BB247" s="97"/>
      <c r="BC247" s="97"/>
      <c r="BD247" s="97"/>
      <c r="BE247" s="97"/>
    </row>
    <row r="248" s="115" customFormat="1" customHeight="1" spans="1:57">
      <c r="A248" s="115" t="s">
        <v>4164</v>
      </c>
      <c r="B248" s="111" t="s">
        <v>4165</v>
      </c>
      <c r="C248" s="554" t="s">
        <v>4166</v>
      </c>
      <c r="D248" s="121" t="s">
        <v>4167</v>
      </c>
      <c r="E248" s="266">
        <v>18903707702</v>
      </c>
      <c r="F248" s="267">
        <v>2</v>
      </c>
      <c r="G248" s="268">
        <v>294</v>
      </c>
      <c r="H248" s="268">
        <v>44.89</v>
      </c>
      <c r="I248" s="274" t="s">
        <v>2665</v>
      </c>
      <c r="J248" s="113" t="s">
        <v>4168</v>
      </c>
      <c r="K248" s="266">
        <v>27.25</v>
      </c>
      <c r="L248" s="266" t="s">
        <v>2793</v>
      </c>
      <c r="M248" s="275" t="s">
        <v>4028</v>
      </c>
      <c r="N248" s="113" t="s">
        <v>66</v>
      </c>
      <c r="O248" s="113"/>
      <c r="P248" s="113"/>
      <c r="Q248" s="113">
        <v>30225.2110091743</v>
      </c>
      <c r="R248" s="113">
        <v>823637</v>
      </c>
      <c r="S248" s="280">
        <v>413637</v>
      </c>
      <c r="T248" s="281">
        <f t="shared" si="79"/>
        <v>410000</v>
      </c>
      <c r="U248" s="280"/>
      <c r="V248" s="280"/>
      <c r="W248" s="280"/>
      <c r="X248" s="280"/>
      <c r="Y248" s="113"/>
      <c r="Z248" s="113"/>
      <c r="AA248" s="275"/>
      <c r="AB248" s="113" t="s">
        <v>4169</v>
      </c>
      <c r="AC248" s="113"/>
      <c r="AD248" s="113"/>
      <c r="AE248" s="133"/>
      <c r="AG248" s="133"/>
      <c r="AH248" s="133"/>
      <c r="AI248" s="132">
        <f t="shared" si="80"/>
        <v>413637</v>
      </c>
      <c r="AJ248" s="132">
        <f t="shared" si="81"/>
        <v>413637</v>
      </c>
      <c r="AK248" s="133">
        <f t="shared" si="82"/>
        <v>0</v>
      </c>
      <c r="AL248" s="132"/>
      <c r="AM248" s="133"/>
      <c r="AN248" s="246">
        <v>44841</v>
      </c>
      <c r="AO248" s="137"/>
      <c r="AP248" s="97"/>
      <c r="AQ248" s="97"/>
      <c r="AR248" s="97"/>
      <c r="AS248" s="97"/>
      <c r="AT248" s="97"/>
      <c r="AU248" s="97"/>
      <c r="AV248" s="97"/>
      <c r="AW248" s="97"/>
      <c r="AX248" s="97"/>
      <c r="AY248" s="97"/>
      <c r="AZ248" s="97"/>
      <c r="BA248" s="97"/>
      <c r="BB248" s="97"/>
      <c r="BC248" s="97"/>
      <c r="BD248" s="97"/>
      <c r="BE248" s="97"/>
    </row>
    <row r="249" s="115" customFormat="1" customHeight="1" spans="1:57">
      <c r="A249" s="115" t="s">
        <v>4170</v>
      </c>
      <c r="B249" s="111" t="s">
        <v>4171</v>
      </c>
      <c r="C249" s="111" t="s">
        <v>4172</v>
      </c>
      <c r="D249" s="121" t="s">
        <v>4173</v>
      </c>
      <c r="E249" s="266">
        <v>13598849515</v>
      </c>
      <c r="F249" s="267">
        <v>3</v>
      </c>
      <c r="G249" s="268">
        <v>3398</v>
      </c>
      <c r="H249" s="268">
        <v>13.39</v>
      </c>
      <c r="I249" s="274" t="s">
        <v>2657</v>
      </c>
      <c r="J249" s="113" t="s">
        <v>4174</v>
      </c>
      <c r="K249" s="266">
        <v>11.9</v>
      </c>
      <c r="L249" s="266" t="s">
        <v>3282</v>
      </c>
      <c r="M249" s="275" t="s">
        <v>4175</v>
      </c>
      <c r="N249" s="113" t="s">
        <v>56</v>
      </c>
      <c r="O249" s="113"/>
      <c r="P249" s="113"/>
      <c r="Q249" s="113">
        <v>31287.76</v>
      </c>
      <c r="R249" s="113">
        <v>372324</v>
      </c>
      <c r="S249" s="280">
        <v>372324</v>
      </c>
      <c r="T249" s="281">
        <f t="shared" si="79"/>
        <v>0</v>
      </c>
      <c r="U249" s="280"/>
      <c r="V249" s="280"/>
      <c r="W249" s="280"/>
      <c r="X249" s="280"/>
      <c r="Y249" s="113"/>
      <c r="Z249" s="113"/>
      <c r="AA249" s="275"/>
      <c r="AB249" s="113"/>
      <c r="AC249" s="113"/>
      <c r="AD249" s="113"/>
      <c r="AE249" s="133"/>
      <c r="AG249" s="133"/>
      <c r="AH249" s="133"/>
      <c r="AI249" s="132">
        <f t="shared" si="80"/>
        <v>372324</v>
      </c>
      <c r="AJ249" s="132">
        <f t="shared" si="81"/>
        <v>372324</v>
      </c>
      <c r="AK249" s="133">
        <f t="shared" si="82"/>
        <v>0</v>
      </c>
      <c r="AL249" s="132"/>
      <c r="AM249" s="133"/>
      <c r="AN249" s="246">
        <v>44841</v>
      </c>
      <c r="AO249" s="137"/>
      <c r="AP249" s="97"/>
      <c r="AQ249" s="97"/>
      <c r="AR249" s="97"/>
      <c r="AS249" s="97"/>
      <c r="AT249" s="97"/>
      <c r="AU249" s="97"/>
      <c r="AV249" s="97"/>
      <c r="AW249" s="97"/>
      <c r="AX249" s="97"/>
      <c r="AY249" s="97"/>
      <c r="AZ249" s="97"/>
      <c r="BA249" s="97"/>
      <c r="BB249" s="97"/>
      <c r="BC249" s="97"/>
      <c r="BD249" s="97"/>
      <c r="BE249" s="97"/>
    </row>
    <row r="250" s="115" customFormat="1" customHeight="1" spans="1:57">
      <c r="A250" s="115" t="s">
        <v>4176</v>
      </c>
      <c r="B250" s="111" t="s">
        <v>4177</v>
      </c>
      <c r="C250" s="554" t="s">
        <v>4178</v>
      </c>
      <c r="D250" s="121" t="s">
        <v>4179</v>
      </c>
      <c r="E250" s="266">
        <v>13303859776</v>
      </c>
      <c r="F250" s="267">
        <v>1</v>
      </c>
      <c r="G250" s="268">
        <v>174</v>
      </c>
      <c r="H250" s="268">
        <v>22.5</v>
      </c>
      <c r="I250" s="274" t="s">
        <v>2657</v>
      </c>
      <c r="J250" s="113" t="s">
        <v>4180</v>
      </c>
      <c r="K250" s="266">
        <v>22.17</v>
      </c>
      <c r="L250" s="266" t="s">
        <v>3988</v>
      </c>
      <c r="M250" s="275" t="s">
        <v>3219</v>
      </c>
      <c r="N250" s="113" t="s">
        <v>56</v>
      </c>
      <c r="O250" s="113"/>
      <c r="P250" s="113"/>
      <c r="Q250" s="113">
        <v>44918.18</v>
      </c>
      <c r="R250" s="113">
        <v>1010659</v>
      </c>
      <c r="S250" s="280">
        <v>1010659</v>
      </c>
      <c r="T250" s="281">
        <f t="shared" si="79"/>
        <v>0</v>
      </c>
      <c r="U250" s="280"/>
      <c r="V250" s="280">
        <v>1462</v>
      </c>
      <c r="W250" s="280">
        <v>550</v>
      </c>
      <c r="X250" s="280"/>
      <c r="Y250" s="113" t="s">
        <v>2669</v>
      </c>
      <c r="Z250" s="113"/>
      <c r="AA250" s="275"/>
      <c r="AB250" s="113"/>
      <c r="AC250" s="113"/>
      <c r="AD250" s="113"/>
      <c r="AE250" s="133"/>
      <c r="AG250" s="133"/>
      <c r="AH250" s="133"/>
      <c r="AI250" s="132">
        <f t="shared" si="80"/>
        <v>1012671</v>
      </c>
      <c r="AJ250" s="132">
        <f t="shared" si="81"/>
        <v>1012671</v>
      </c>
      <c r="AK250" s="133">
        <f t="shared" si="82"/>
        <v>0</v>
      </c>
      <c r="AL250" s="132"/>
      <c r="AM250" s="133"/>
      <c r="AN250" s="246">
        <v>44841</v>
      </c>
      <c r="AO250" s="137"/>
      <c r="AP250" s="97"/>
      <c r="AQ250" s="97"/>
      <c r="AR250" s="97"/>
      <c r="AS250" s="97"/>
      <c r="AT250" s="97"/>
      <c r="AU250" s="97"/>
      <c r="AV250" s="97"/>
      <c r="AW250" s="97"/>
      <c r="AX250" s="97"/>
      <c r="AY250" s="97"/>
      <c r="AZ250" s="97"/>
      <c r="BA250" s="97"/>
      <c r="BB250" s="97"/>
      <c r="BC250" s="97"/>
      <c r="BD250" s="97"/>
      <c r="BE250" s="97"/>
    </row>
    <row r="251" s="115" customFormat="1" customHeight="1" spans="1:57">
      <c r="A251" s="115" t="s">
        <v>4181</v>
      </c>
      <c r="B251" s="111" t="s">
        <v>4182</v>
      </c>
      <c r="C251" s="554" t="s">
        <v>4183</v>
      </c>
      <c r="D251" s="121" t="s">
        <v>4184</v>
      </c>
      <c r="E251" s="266">
        <v>13838305576</v>
      </c>
      <c r="F251" s="267">
        <v>3</v>
      </c>
      <c r="G251" s="268">
        <v>376</v>
      </c>
      <c r="H251" s="268">
        <v>30.34</v>
      </c>
      <c r="I251" s="274" t="s">
        <v>2665</v>
      </c>
      <c r="J251" s="113" t="s">
        <v>4185</v>
      </c>
      <c r="K251" s="266">
        <v>31.8</v>
      </c>
      <c r="L251" s="266" t="s">
        <v>2711</v>
      </c>
      <c r="M251" s="275" t="s">
        <v>3192</v>
      </c>
      <c r="N251" s="113" t="s">
        <v>66</v>
      </c>
      <c r="O251" s="113"/>
      <c r="P251" s="113"/>
      <c r="Q251" s="113">
        <v>23482.2012578616</v>
      </c>
      <c r="R251" s="113">
        <v>712450</v>
      </c>
      <c r="S251" s="280">
        <v>382450</v>
      </c>
      <c r="T251" s="281">
        <f t="shared" si="79"/>
        <v>330000</v>
      </c>
      <c r="U251" s="280"/>
      <c r="V251" s="280">
        <v>1972</v>
      </c>
      <c r="W251" s="280">
        <v>550</v>
      </c>
      <c r="X251" s="280"/>
      <c r="Y251" s="113"/>
      <c r="Z251" s="113"/>
      <c r="AA251" s="275"/>
      <c r="AB251" s="113"/>
      <c r="AC251" s="113"/>
      <c r="AD251" s="113"/>
      <c r="AE251" s="133"/>
      <c r="AG251" s="133"/>
      <c r="AH251" s="133"/>
      <c r="AI251" s="132">
        <f t="shared" si="80"/>
        <v>384972</v>
      </c>
      <c r="AJ251" s="132">
        <f t="shared" si="81"/>
        <v>384972</v>
      </c>
      <c r="AK251" s="133">
        <f t="shared" si="82"/>
        <v>0</v>
      </c>
      <c r="AL251" s="132"/>
      <c r="AM251" s="133"/>
      <c r="AN251" s="246">
        <v>44841</v>
      </c>
      <c r="AO251" s="137"/>
      <c r="AP251" s="97"/>
      <c r="AQ251" s="97"/>
      <c r="AR251" s="97"/>
      <c r="AS251" s="97"/>
      <c r="AT251" s="97"/>
      <c r="AU251" s="97"/>
      <c r="AV251" s="97"/>
      <c r="AW251" s="97"/>
      <c r="AX251" s="97"/>
      <c r="AY251" s="97"/>
      <c r="AZ251" s="97"/>
      <c r="BA251" s="97"/>
      <c r="BB251" s="97"/>
      <c r="BC251" s="97"/>
      <c r="BD251" s="97"/>
      <c r="BE251" s="97"/>
    </row>
    <row r="252" s="115" customFormat="1" customHeight="1" spans="1:57">
      <c r="A252" s="115" t="s">
        <v>4186</v>
      </c>
      <c r="B252" s="111" t="s">
        <v>4187</v>
      </c>
      <c r="C252" s="111" t="s">
        <v>4188</v>
      </c>
      <c r="D252" s="121" t="s">
        <v>4189</v>
      </c>
      <c r="E252" s="266">
        <v>13523763859</v>
      </c>
      <c r="F252" s="267">
        <v>3</v>
      </c>
      <c r="G252" s="268">
        <v>3887</v>
      </c>
      <c r="H252" s="268">
        <v>25.19</v>
      </c>
      <c r="I252" s="274" t="s">
        <v>2657</v>
      </c>
      <c r="J252" s="113" t="s">
        <v>4190</v>
      </c>
      <c r="K252" s="266">
        <v>21.38</v>
      </c>
      <c r="L252" s="266" t="s">
        <v>3425</v>
      </c>
      <c r="M252" s="275" t="s">
        <v>4191</v>
      </c>
      <c r="N252" s="113" t="s">
        <v>56</v>
      </c>
      <c r="O252" s="113"/>
      <c r="P252" s="113"/>
      <c r="Q252" s="113">
        <v>30846.01</v>
      </c>
      <c r="R252" s="113">
        <v>777011</v>
      </c>
      <c r="S252" s="280">
        <v>777011</v>
      </c>
      <c r="T252" s="281">
        <f t="shared" si="79"/>
        <v>0</v>
      </c>
      <c r="U252" s="280"/>
      <c r="V252" s="280">
        <v>1637</v>
      </c>
      <c r="W252" s="280">
        <v>550</v>
      </c>
      <c r="X252" s="280"/>
      <c r="Y252" s="113"/>
      <c r="Z252" s="113"/>
      <c r="AA252" s="275"/>
      <c r="AB252" s="113" t="s">
        <v>4192</v>
      </c>
      <c r="AC252" s="113"/>
      <c r="AD252" s="113"/>
      <c r="AE252" s="133"/>
      <c r="AF252" s="115" t="s">
        <v>237</v>
      </c>
      <c r="AG252" s="133"/>
      <c r="AH252" s="133"/>
      <c r="AI252" s="132">
        <f t="shared" si="80"/>
        <v>779198</v>
      </c>
      <c r="AJ252" s="132">
        <f t="shared" si="81"/>
        <v>779198</v>
      </c>
      <c r="AK252" s="133">
        <f t="shared" si="82"/>
        <v>0</v>
      </c>
      <c r="AL252" s="132"/>
      <c r="AM252" s="133"/>
      <c r="AN252" s="246">
        <v>44841</v>
      </c>
      <c r="AO252" s="137"/>
      <c r="AP252" s="97"/>
      <c r="AQ252" s="97"/>
      <c r="AR252" s="97"/>
      <c r="AS252" s="97"/>
      <c r="AT252" s="97"/>
      <c r="AU252" s="97"/>
      <c r="AV252" s="97"/>
      <c r="AW252" s="97"/>
      <c r="AX252" s="97"/>
      <c r="AY252" s="97"/>
      <c r="AZ252" s="97"/>
      <c r="BA252" s="97"/>
      <c r="BB252" s="97"/>
      <c r="BC252" s="97"/>
      <c r="BD252" s="97"/>
      <c r="BE252" s="97"/>
    </row>
    <row r="253" s="115" customFormat="1" customHeight="1" spans="1:57">
      <c r="A253" s="115" t="s">
        <v>4193</v>
      </c>
      <c r="B253" s="111" t="s">
        <v>4194</v>
      </c>
      <c r="C253" s="111" t="s">
        <v>4195</v>
      </c>
      <c r="D253" s="121" t="s">
        <v>4196</v>
      </c>
      <c r="E253" s="266">
        <v>13838321069</v>
      </c>
      <c r="F253" s="267">
        <v>3</v>
      </c>
      <c r="G253" s="268">
        <v>3713</v>
      </c>
      <c r="H253" s="268">
        <v>15.38</v>
      </c>
      <c r="I253" s="274" t="s">
        <v>2657</v>
      </c>
      <c r="J253" s="113" t="s">
        <v>4197</v>
      </c>
      <c r="K253" s="266">
        <v>12.71</v>
      </c>
      <c r="L253" s="266" t="s">
        <v>2762</v>
      </c>
      <c r="M253" s="275" t="s">
        <v>3932</v>
      </c>
      <c r="N253" s="113" t="s">
        <v>56</v>
      </c>
      <c r="O253" s="113"/>
      <c r="P253" s="113"/>
      <c r="Q253" s="113">
        <v>31907.71</v>
      </c>
      <c r="R253" s="113">
        <v>405547</v>
      </c>
      <c r="S253" s="280">
        <v>405547</v>
      </c>
      <c r="T253" s="281">
        <f t="shared" si="79"/>
        <v>0</v>
      </c>
      <c r="U253" s="280"/>
      <c r="V253" s="280"/>
      <c r="W253" s="280"/>
      <c r="X253" s="280"/>
      <c r="Y253" s="113"/>
      <c r="Z253" s="113"/>
      <c r="AA253" s="275"/>
      <c r="AB253" s="113"/>
      <c r="AC253" s="113"/>
      <c r="AD253" s="113"/>
      <c r="AE253" s="133"/>
      <c r="AG253" s="133"/>
      <c r="AH253" s="133"/>
      <c r="AI253" s="132">
        <f t="shared" si="80"/>
        <v>405547</v>
      </c>
      <c r="AJ253" s="132">
        <f t="shared" si="81"/>
        <v>405547</v>
      </c>
      <c r="AK253" s="133">
        <f t="shared" si="82"/>
        <v>0</v>
      </c>
      <c r="AL253" s="132"/>
      <c r="AM253" s="133"/>
      <c r="AN253" s="246">
        <v>44841</v>
      </c>
      <c r="AO253" s="137"/>
      <c r="AP253" s="97"/>
      <c r="AQ253" s="97"/>
      <c r="AR253" s="97"/>
      <c r="AS253" s="97"/>
      <c r="AT253" s="97"/>
      <c r="AU253" s="97"/>
      <c r="AV253" s="97"/>
      <c r="AW253" s="97"/>
      <c r="AX253" s="97"/>
      <c r="AY253" s="97"/>
      <c r="AZ253" s="97"/>
      <c r="BA253" s="97"/>
      <c r="BB253" s="97"/>
      <c r="BC253" s="97"/>
      <c r="BD253" s="97"/>
      <c r="BE253" s="97"/>
    </row>
    <row r="254" s="115" customFormat="1" customHeight="1" spans="1:58">
      <c r="A254" s="115" t="s">
        <v>4198</v>
      </c>
      <c r="B254" s="111" t="s">
        <v>1324</v>
      </c>
      <c r="C254" s="111" t="s">
        <v>4199</v>
      </c>
      <c r="D254" s="121" t="s">
        <v>4200</v>
      </c>
      <c r="E254" s="266">
        <v>13137107817</v>
      </c>
      <c r="F254" s="267">
        <v>3</v>
      </c>
      <c r="G254" s="268">
        <v>3852</v>
      </c>
      <c r="H254" s="268">
        <v>17.31</v>
      </c>
      <c r="I254" s="274" t="s">
        <v>2657</v>
      </c>
      <c r="J254" s="113" t="s">
        <v>4201</v>
      </c>
      <c r="K254" s="266">
        <v>17.75</v>
      </c>
      <c r="L254" s="266" t="s">
        <v>4202</v>
      </c>
      <c r="M254" s="275" t="s">
        <v>2699</v>
      </c>
      <c r="N254" s="113" t="s">
        <v>66</v>
      </c>
      <c r="O254" s="113"/>
      <c r="P254" s="113"/>
      <c r="Q254" s="113">
        <v>32112.68</v>
      </c>
      <c r="R254" s="113">
        <v>555870</v>
      </c>
      <c r="S254" s="280">
        <v>295870</v>
      </c>
      <c r="T254" s="281">
        <f t="shared" si="79"/>
        <v>260000</v>
      </c>
      <c r="U254" s="280"/>
      <c r="V254" s="280">
        <v>1125</v>
      </c>
      <c r="W254" s="280">
        <v>550</v>
      </c>
      <c r="X254" s="280"/>
      <c r="Y254" s="113" t="s">
        <v>2669</v>
      </c>
      <c r="Z254" s="113"/>
      <c r="AA254" s="275"/>
      <c r="AB254" s="113"/>
      <c r="AC254" s="113">
        <v>1246</v>
      </c>
      <c r="AD254" s="113"/>
      <c r="AG254" s="133"/>
      <c r="AH254" s="133"/>
      <c r="AI254" s="132">
        <f t="shared" si="80"/>
        <v>298791</v>
      </c>
      <c r="AJ254" s="132">
        <f t="shared" si="81"/>
        <v>297545</v>
      </c>
      <c r="AK254" s="133">
        <f t="shared" si="82"/>
        <v>1246</v>
      </c>
      <c r="AL254" s="132"/>
      <c r="AM254" s="133"/>
      <c r="AN254" s="246"/>
      <c r="AO254" s="288"/>
      <c r="AP254" s="288"/>
      <c r="AQ254" s="97"/>
      <c r="AR254" s="97"/>
      <c r="AS254" s="97"/>
      <c r="AT254" s="97"/>
      <c r="AU254" s="97"/>
      <c r="AV254" s="97"/>
      <c r="AW254" s="97"/>
      <c r="AX254" s="97"/>
      <c r="AY254" s="97"/>
      <c r="AZ254" s="97"/>
      <c r="BA254" s="97"/>
      <c r="BB254" s="97"/>
      <c r="BC254" s="97"/>
      <c r="BD254" s="97"/>
      <c r="BE254" s="97"/>
      <c r="BF254" s="97"/>
    </row>
    <row r="255" s="115" customFormat="1" customHeight="1" spans="1:57">
      <c r="A255" s="115" t="s">
        <v>4203</v>
      </c>
      <c r="B255" s="111" t="s">
        <v>4204</v>
      </c>
      <c r="C255" s="554" t="s">
        <v>4205</v>
      </c>
      <c r="D255" s="121" t="s">
        <v>4206</v>
      </c>
      <c r="E255" s="266">
        <v>13939090289</v>
      </c>
      <c r="F255" s="267">
        <v>3</v>
      </c>
      <c r="G255" s="268">
        <v>3885</v>
      </c>
      <c r="H255" s="268">
        <v>24.73</v>
      </c>
      <c r="I255" s="274" t="s">
        <v>2657</v>
      </c>
      <c r="J255" s="113" t="s">
        <v>4207</v>
      </c>
      <c r="K255" s="266">
        <v>21.25</v>
      </c>
      <c r="L255" s="266" t="s">
        <v>3124</v>
      </c>
      <c r="M255" s="275" t="s">
        <v>3124</v>
      </c>
      <c r="N255" s="113" t="s">
        <v>56</v>
      </c>
      <c r="O255" s="113"/>
      <c r="P255" s="113"/>
      <c r="Q255" s="113">
        <v>31043.44</v>
      </c>
      <c r="R255" s="113">
        <v>659673</v>
      </c>
      <c r="S255" s="280">
        <v>659673</v>
      </c>
      <c r="T255" s="281">
        <f t="shared" ref="T255:T275" si="83">R255-S255</f>
        <v>0</v>
      </c>
      <c r="U255" s="280"/>
      <c r="V255" s="280"/>
      <c r="W255" s="280"/>
      <c r="X255" s="280"/>
      <c r="Y255" s="113"/>
      <c r="Z255" s="113"/>
      <c r="AA255" s="275"/>
      <c r="AB255" s="113"/>
      <c r="AC255" s="113"/>
      <c r="AD255" s="113"/>
      <c r="AE255" s="133"/>
      <c r="AG255" s="133"/>
      <c r="AH255" s="133"/>
      <c r="AI255" s="132">
        <f t="shared" si="80"/>
        <v>659673</v>
      </c>
      <c r="AJ255" s="132">
        <f t="shared" si="81"/>
        <v>659673</v>
      </c>
      <c r="AK255" s="133">
        <f t="shared" si="82"/>
        <v>0</v>
      </c>
      <c r="AL255" s="132"/>
      <c r="AM255" s="133"/>
      <c r="AN255" s="246">
        <v>44841</v>
      </c>
      <c r="AO255" s="137"/>
      <c r="AP255" s="97"/>
      <c r="AQ255" s="97"/>
      <c r="AR255" s="97"/>
      <c r="AS255" s="97"/>
      <c r="AT255" s="97"/>
      <c r="AU255" s="97"/>
      <c r="AV255" s="97"/>
      <c r="AW255" s="97"/>
      <c r="AX255" s="97"/>
      <c r="AY255" s="97"/>
      <c r="AZ255" s="97"/>
      <c r="BA255" s="97"/>
      <c r="BB255" s="97"/>
      <c r="BC255" s="97"/>
      <c r="BD255" s="97"/>
      <c r="BE255" s="97"/>
    </row>
    <row r="256" s="115" customFormat="1" customHeight="1" spans="1:57">
      <c r="A256" s="115" t="s">
        <v>4208</v>
      </c>
      <c r="B256" s="111" t="s">
        <v>4209</v>
      </c>
      <c r="C256" s="111" t="s">
        <v>4210</v>
      </c>
      <c r="D256" s="121" t="s">
        <v>4211</v>
      </c>
      <c r="E256" s="266" t="s">
        <v>4212</v>
      </c>
      <c r="F256" s="267">
        <v>4</v>
      </c>
      <c r="G256" s="268">
        <v>4436</v>
      </c>
      <c r="H256" s="268">
        <v>26.6</v>
      </c>
      <c r="I256" s="274" t="s">
        <v>2665</v>
      </c>
      <c r="J256" s="113" t="s">
        <v>4213</v>
      </c>
      <c r="K256" s="266">
        <v>29.63</v>
      </c>
      <c r="L256" s="266" t="s">
        <v>4214</v>
      </c>
      <c r="M256" s="275" t="s">
        <v>4215</v>
      </c>
      <c r="N256" s="113" t="s">
        <v>66</v>
      </c>
      <c r="O256" s="113"/>
      <c r="P256" s="113"/>
      <c r="Q256" s="113">
        <v>21761.46</v>
      </c>
      <c r="R256" s="113">
        <v>578855</v>
      </c>
      <c r="S256" s="280">
        <v>324855</v>
      </c>
      <c r="T256" s="281">
        <f t="shared" si="83"/>
        <v>254000</v>
      </c>
      <c r="U256" s="280"/>
      <c r="V256" s="280">
        <v>1729</v>
      </c>
      <c r="W256" s="280">
        <v>550</v>
      </c>
      <c r="X256" s="280"/>
      <c r="Y256" s="113" t="s">
        <v>2669</v>
      </c>
      <c r="Z256" s="113"/>
      <c r="AA256" s="275"/>
      <c r="AB256" s="113"/>
      <c r="AC256" s="113"/>
      <c r="AD256" s="113"/>
      <c r="AE256" s="133"/>
      <c r="AG256" s="133"/>
      <c r="AH256" s="133"/>
      <c r="AI256" s="132">
        <f t="shared" si="80"/>
        <v>327134</v>
      </c>
      <c r="AJ256" s="132">
        <f t="shared" si="81"/>
        <v>327134</v>
      </c>
      <c r="AK256" s="133">
        <f t="shared" si="82"/>
        <v>0</v>
      </c>
      <c r="AL256" s="132"/>
      <c r="AM256" s="133"/>
      <c r="AN256" s="246">
        <v>44841</v>
      </c>
      <c r="AO256" s="137"/>
      <c r="AP256" s="97"/>
      <c r="AQ256" s="97"/>
      <c r="AR256" s="97"/>
      <c r="AS256" s="97"/>
      <c r="AT256" s="97"/>
      <c r="AU256" s="97"/>
      <c r="AV256" s="97"/>
      <c r="AW256" s="97"/>
      <c r="AX256" s="97"/>
      <c r="AY256" s="97"/>
      <c r="AZ256" s="97"/>
      <c r="BA256" s="97"/>
      <c r="BB256" s="97"/>
      <c r="BC256" s="97"/>
      <c r="BD256" s="97"/>
      <c r="BE256" s="97"/>
    </row>
    <row r="257" s="115" customFormat="1" customHeight="1" spans="1:57">
      <c r="A257" s="115" t="s">
        <v>4216</v>
      </c>
      <c r="B257" s="111" t="s">
        <v>4217</v>
      </c>
      <c r="C257" s="111" t="s">
        <v>4218</v>
      </c>
      <c r="D257" s="121" t="s">
        <v>4219</v>
      </c>
      <c r="E257" s="266" t="s">
        <v>4220</v>
      </c>
      <c r="F257" s="267">
        <v>2</v>
      </c>
      <c r="G257" s="268">
        <v>2155</v>
      </c>
      <c r="H257" s="268">
        <v>20.24</v>
      </c>
      <c r="I257" s="274" t="s">
        <v>2665</v>
      </c>
      <c r="J257" s="113" t="s">
        <v>4221</v>
      </c>
      <c r="K257" s="266">
        <v>21.75</v>
      </c>
      <c r="L257" s="266" t="s">
        <v>4222</v>
      </c>
      <c r="M257" s="275" t="s">
        <v>3787</v>
      </c>
      <c r="N257" s="113" t="s">
        <v>66</v>
      </c>
      <c r="O257" s="113"/>
      <c r="P257" s="113"/>
      <c r="Q257" s="113">
        <v>33862.07</v>
      </c>
      <c r="R257" s="113">
        <v>685368</v>
      </c>
      <c r="S257" s="280">
        <v>375368</v>
      </c>
      <c r="T257" s="281">
        <f t="shared" si="83"/>
        <v>310000</v>
      </c>
      <c r="U257" s="280"/>
      <c r="V257" s="280">
        <v>1315</v>
      </c>
      <c r="W257" s="280">
        <v>550</v>
      </c>
      <c r="X257" s="280"/>
      <c r="Y257" s="113" t="s">
        <v>2669</v>
      </c>
      <c r="Z257" s="113"/>
      <c r="AA257" s="275"/>
      <c r="AB257" s="113"/>
      <c r="AC257" s="113">
        <v>1251</v>
      </c>
      <c r="AD257" s="113"/>
      <c r="AE257" s="133"/>
      <c r="AG257" s="133"/>
      <c r="AH257" s="133"/>
      <c r="AI257" s="132">
        <f t="shared" si="80"/>
        <v>378484</v>
      </c>
      <c r="AJ257" s="132">
        <f t="shared" si="81"/>
        <v>377233</v>
      </c>
      <c r="AK257" s="133">
        <f t="shared" si="82"/>
        <v>1251</v>
      </c>
      <c r="AL257" s="132"/>
      <c r="AM257" s="133"/>
      <c r="AN257" s="246">
        <v>44841</v>
      </c>
      <c r="AO257" s="137"/>
      <c r="AP257" s="97"/>
      <c r="AQ257" s="97"/>
      <c r="AR257" s="97"/>
      <c r="AS257" s="97"/>
      <c r="AT257" s="97"/>
      <c r="AU257" s="97"/>
      <c r="AV257" s="97"/>
      <c r="AW257" s="97"/>
      <c r="AX257" s="97"/>
      <c r="AY257" s="97"/>
      <c r="AZ257" s="97"/>
      <c r="BA257" s="97"/>
      <c r="BB257" s="97"/>
      <c r="BC257" s="97"/>
      <c r="BD257" s="97"/>
      <c r="BE257" s="97"/>
    </row>
    <row r="258" s="115" customFormat="1" customHeight="1" spans="1:57">
      <c r="A258" s="115" t="s">
        <v>4223</v>
      </c>
      <c r="B258" s="111" t="s">
        <v>4224</v>
      </c>
      <c r="C258" s="554" t="s">
        <v>4225</v>
      </c>
      <c r="D258" s="121" t="s">
        <v>4226</v>
      </c>
      <c r="E258" s="266">
        <v>15890067308</v>
      </c>
      <c r="F258" s="267">
        <v>2</v>
      </c>
      <c r="G258" s="268">
        <v>298</v>
      </c>
      <c r="H258" s="268">
        <v>18.74</v>
      </c>
      <c r="I258" s="274" t="s">
        <v>2665</v>
      </c>
      <c r="J258" s="113" t="s">
        <v>4227</v>
      </c>
      <c r="K258" s="266">
        <v>32.45</v>
      </c>
      <c r="L258" s="266" t="s">
        <v>2711</v>
      </c>
      <c r="M258" s="275"/>
      <c r="N258" s="113" t="s">
        <v>56</v>
      </c>
      <c r="O258" s="113"/>
      <c r="P258" s="113"/>
      <c r="Q258" s="113">
        <v>28133.7442218798</v>
      </c>
      <c r="R258" s="113">
        <v>912940</v>
      </c>
      <c r="S258" s="280">
        <v>912940</v>
      </c>
      <c r="T258" s="281">
        <f t="shared" si="83"/>
        <v>0</v>
      </c>
      <c r="U258" s="280"/>
      <c r="V258" s="280"/>
      <c r="W258" s="280"/>
      <c r="X258" s="280"/>
      <c r="Y258" s="113"/>
      <c r="Z258" s="113"/>
      <c r="AA258" s="275"/>
      <c r="AB258" s="113"/>
      <c r="AC258" s="113"/>
      <c r="AD258" s="113"/>
      <c r="AE258" s="133"/>
      <c r="AG258" s="133"/>
      <c r="AH258" s="133"/>
      <c r="AI258" s="132">
        <f t="shared" si="80"/>
        <v>912940</v>
      </c>
      <c r="AJ258" s="132">
        <f t="shared" si="81"/>
        <v>912940</v>
      </c>
      <c r="AK258" s="133">
        <f t="shared" si="82"/>
        <v>0</v>
      </c>
      <c r="AL258" s="132"/>
      <c r="AM258" s="133"/>
      <c r="AN258" s="246">
        <v>44841</v>
      </c>
      <c r="AO258" s="137"/>
      <c r="AP258" s="97"/>
      <c r="AQ258" s="97"/>
      <c r="AR258" s="97"/>
      <c r="AS258" s="97"/>
      <c r="AT258" s="97"/>
      <c r="AU258" s="97"/>
      <c r="AV258" s="97"/>
      <c r="AW258" s="97"/>
      <c r="AX258" s="97"/>
      <c r="AY258" s="97"/>
      <c r="AZ258" s="97"/>
      <c r="BA258" s="97"/>
      <c r="BB258" s="97"/>
      <c r="BC258" s="97"/>
      <c r="BD258" s="97"/>
      <c r="BE258" s="97"/>
    </row>
    <row r="259" s="115" customFormat="1" customHeight="1" spans="1:57">
      <c r="A259" s="115" t="s">
        <v>4228</v>
      </c>
      <c r="B259" s="111" t="s">
        <v>4229</v>
      </c>
      <c r="C259" s="554" t="s">
        <v>4230</v>
      </c>
      <c r="D259" s="121" t="s">
        <v>4231</v>
      </c>
      <c r="E259" s="266">
        <v>18595719586</v>
      </c>
      <c r="F259" s="267">
        <v>2</v>
      </c>
      <c r="G259" s="268">
        <v>258</v>
      </c>
      <c r="H259" s="268">
        <v>21.89</v>
      </c>
      <c r="I259" s="274" t="s">
        <v>2665</v>
      </c>
      <c r="J259" s="113" t="s">
        <v>4232</v>
      </c>
      <c r="K259" s="266">
        <v>20.18</v>
      </c>
      <c r="L259" s="266" t="s">
        <v>2711</v>
      </c>
      <c r="M259" s="275" t="s">
        <v>2799</v>
      </c>
      <c r="N259" s="113" t="s">
        <v>66</v>
      </c>
      <c r="O259" s="113"/>
      <c r="P259" s="113"/>
      <c r="Q259" s="113">
        <v>29929.1377601586</v>
      </c>
      <c r="R259" s="113">
        <v>603970</v>
      </c>
      <c r="S259" s="280">
        <v>303970</v>
      </c>
      <c r="T259" s="281">
        <f t="shared" si="83"/>
        <v>300000</v>
      </c>
      <c r="U259" s="280"/>
      <c r="V259" s="280"/>
      <c r="W259" s="280"/>
      <c r="X259" s="280"/>
      <c r="Y259" s="113"/>
      <c r="Z259" s="113"/>
      <c r="AA259" s="275"/>
      <c r="AB259" s="113"/>
      <c r="AC259" s="113"/>
      <c r="AD259" s="113"/>
      <c r="AE259" s="133"/>
      <c r="AG259" s="133"/>
      <c r="AH259" s="133"/>
      <c r="AI259" s="132">
        <f t="shared" ref="AI259:AI270" si="84">S259+U259+V259+W259+X259+AC259+AD259+AE259</f>
        <v>303970</v>
      </c>
      <c r="AJ259" s="132">
        <f t="shared" ref="AJ259:AJ270" si="85">S259+U259+V259+W259+X259</f>
        <v>303970</v>
      </c>
      <c r="AK259" s="133">
        <f t="shared" ref="AK259:AK270" si="86">AI259-AJ259</f>
        <v>0</v>
      </c>
      <c r="AL259" s="132"/>
      <c r="AM259" s="133"/>
      <c r="AN259" s="246">
        <v>44841</v>
      </c>
      <c r="AO259" s="137"/>
      <c r="AP259" s="97"/>
      <c r="AQ259" s="97"/>
      <c r="AR259" s="97"/>
      <c r="AS259" s="97"/>
      <c r="AT259" s="97"/>
      <c r="AU259" s="97"/>
      <c r="AV259" s="97"/>
      <c r="AW259" s="97"/>
      <c r="AX259" s="97"/>
      <c r="AY259" s="97"/>
      <c r="AZ259" s="97"/>
      <c r="BA259" s="97"/>
      <c r="BB259" s="97"/>
      <c r="BC259" s="97"/>
      <c r="BD259" s="97"/>
      <c r="BE259" s="97"/>
    </row>
    <row r="260" s="115" customFormat="1" customHeight="1" spans="1:57">
      <c r="A260" s="115" t="s">
        <v>4233</v>
      </c>
      <c r="B260" s="111" t="s">
        <v>4234</v>
      </c>
      <c r="C260" s="111" t="s">
        <v>4235</v>
      </c>
      <c r="D260" s="121" t="s">
        <v>4236</v>
      </c>
      <c r="E260" s="266">
        <v>15003820835</v>
      </c>
      <c r="F260" s="267">
        <v>3</v>
      </c>
      <c r="G260" s="268">
        <v>3790</v>
      </c>
      <c r="H260" s="268">
        <v>15.4</v>
      </c>
      <c r="I260" s="274" t="s">
        <v>2657</v>
      </c>
      <c r="J260" s="113" t="s">
        <v>4237</v>
      </c>
      <c r="K260" s="266">
        <v>14.97</v>
      </c>
      <c r="L260" s="266" t="s">
        <v>4238</v>
      </c>
      <c r="M260" s="275" t="s">
        <v>4239</v>
      </c>
      <c r="N260" s="113" t="s">
        <v>66</v>
      </c>
      <c r="O260" s="113"/>
      <c r="P260" s="113"/>
      <c r="Q260" s="113">
        <v>32201</v>
      </c>
      <c r="R260" s="113">
        <v>495895</v>
      </c>
      <c r="S260" s="280">
        <v>255895</v>
      </c>
      <c r="T260" s="281">
        <f t="shared" si="83"/>
        <v>240000</v>
      </c>
      <c r="U260" s="280"/>
      <c r="V260" s="280">
        <v>1001</v>
      </c>
      <c r="W260" s="280">
        <v>560</v>
      </c>
      <c r="X260" s="280"/>
      <c r="Y260" s="113" t="s">
        <v>2669</v>
      </c>
      <c r="Z260" s="113"/>
      <c r="AA260" s="275"/>
      <c r="AB260" s="113"/>
      <c r="AC260" s="113">
        <v>1244</v>
      </c>
      <c r="AD260" s="113"/>
      <c r="AE260" s="133"/>
      <c r="AG260" s="133"/>
      <c r="AH260" s="133"/>
      <c r="AI260" s="132">
        <f t="shared" si="84"/>
        <v>258700</v>
      </c>
      <c r="AJ260" s="132">
        <f t="shared" si="85"/>
        <v>257456</v>
      </c>
      <c r="AK260" s="133">
        <f t="shared" si="86"/>
        <v>1244</v>
      </c>
      <c r="AL260" s="132"/>
      <c r="AM260" s="133"/>
      <c r="AN260" s="246">
        <v>44841</v>
      </c>
      <c r="AO260" s="137"/>
      <c r="AP260" s="97"/>
      <c r="AQ260" s="97"/>
      <c r="AR260" s="97"/>
      <c r="AS260" s="97"/>
      <c r="AT260" s="97"/>
      <c r="AU260" s="97"/>
      <c r="AV260" s="97"/>
      <c r="AW260" s="97"/>
      <c r="AX260" s="97"/>
      <c r="AY260" s="97"/>
      <c r="AZ260" s="97"/>
      <c r="BA260" s="97"/>
      <c r="BB260" s="97"/>
      <c r="BC260" s="97"/>
      <c r="BD260" s="97"/>
      <c r="BE260" s="97"/>
    </row>
    <row r="261" s="115" customFormat="1" customHeight="1" spans="1:57">
      <c r="A261" s="115" t="s">
        <v>4240</v>
      </c>
      <c r="B261" s="111" t="s">
        <v>4241</v>
      </c>
      <c r="C261" s="554" t="s">
        <v>4242</v>
      </c>
      <c r="D261" s="121" t="s">
        <v>4243</v>
      </c>
      <c r="E261" s="266">
        <v>13917415060</v>
      </c>
      <c r="F261" s="267">
        <v>1</v>
      </c>
      <c r="G261" s="268">
        <v>1805</v>
      </c>
      <c r="H261" s="268">
        <v>24.35</v>
      </c>
      <c r="I261" s="274" t="s">
        <v>2657</v>
      </c>
      <c r="J261" s="113" t="s">
        <v>4244</v>
      </c>
      <c r="K261" s="266">
        <v>26.26</v>
      </c>
      <c r="L261" s="266" t="s">
        <v>3055</v>
      </c>
      <c r="M261" s="275" t="s">
        <v>3772</v>
      </c>
      <c r="N261" s="113" t="s">
        <v>56</v>
      </c>
      <c r="O261" s="113"/>
      <c r="P261" s="113"/>
      <c r="Q261" s="113">
        <v>46007.68</v>
      </c>
      <c r="R261" s="113">
        <v>1120287</v>
      </c>
      <c r="S261" s="280">
        <v>1120287</v>
      </c>
      <c r="T261" s="281">
        <f t="shared" si="83"/>
        <v>0</v>
      </c>
      <c r="U261" s="280"/>
      <c r="V261" s="280">
        <v>1582</v>
      </c>
      <c r="W261" s="280">
        <v>550</v>
      </c>
      <c r="X261" s="280">
        <v>87581</v>
      </c>
      <c r="Y261" s="113" t="s">
        <v>2669</v>
      </c>
      <c r="Z261" s="113" t="s">
        <v>48</v>
      </c>
      <c r="AA261" s="275">
        <v>44067</v>
      </c>
      <c r="AB261" s="113"/>
      <c r="AC261" s="113"/>
      <c r="AD261" s="113"/>
      <c r="AE261" s="133"/>
      <c r="AG261" s="133"/>
      <c r="AH261" s="133"/>
      <c r="AI261" s="132">
        <f t="shared" si="84"/>
        <v>1210000</v>
      </c>
      <c r="AJ261" s="132">
        <f t="shared" si="85"/>
        <v>1210000</v>
      </c>
      <c r="AK261" s="133">
        <f t="shared" si="86"/>
        <v>0</v>
      </c>
      <c r="AL261" s="132"/>
      <c r="AM261" s="133"/>
      <c r="AN261" s="246">
        <v>44841</v>
      </c>
      <c r="AO261" s="137"/>
      <c r="AP261" s="97"/>
      <c r="AQ261" s="97"/>
      <c r="AR261" s="97"/>
      <c r="AS261" s="97"/>
      <c r="AT261" s="97"/>
      <c r="AU261" s="97"/>
      <c r="AV261" s="97"/>
      <c r="AW261" s="97"/>
      <c r="AX261" s="97"/>
      <c r="AY261" s="97"/>
      <c r="AZ261" s="97"/>
      <c r="BA261" s="97"/>
      <c r="BB261" s="97"/>
      <c r="BC261" s="97"/>
      <c r="BD261" s="97"/>
      <c r="BE261" s="97"/>
    </row>
    <row r="262" s="115" customFormat="1" customHeight="1" spans="1:57">
      <c r="A262" s="115" t="s">
        <v>4245</v>
      </c>
      <c r="B262" s="111" t="s">
        <v>4246</v>
      </c>
      <c r="C262" s="111" t="s">
        <v>4247</v>
      </c>
      <c r="D262" s="121" t="s">
        <v>4248</v>
      </c>
      <c r="E262" s="266">
        <v>13782887103</v>
      </c>
      <c r="F262" s="267">
        <v>3</v>
      </c>
      <c r="G262" s="268">
        <v>3139</v>
      </c>
      <c r="H262" s="268">
        <v>24.88</v>
      </c>
      <c r="I262" s="274" t="s">
        <v>2657</v>
      </c>
      <c r="J262" s="113" t="s">
        <v>4249</v>
      </c>
      <c r="K262" s="266">
        <v>20.82</v>
      </c>
      <c r="L262" s="266" t="s">
        <v>2848</v>
      </c>
      <c r="M262" s="275" t="s">
        <v>2659</v>
      </c>
      <c r="N262" s="113" t="s">
        <v>66</v>
      </c>
      <c r="O262" s="113"/>
      <c r="P262" s="113"/>
      <c r="Q262" s="113">
        <v>31622.33</v>
      </c>
      <c r="R262" s="113">
        <v>658377</v>
      </c>
      <c r="S262" s="280">
        <v>338377</v>
      </c>
      <c r="T262" s="281">
        <f t="shared" si="83"/>
        <v>320000</v>
      </c>
      <c r="U262" s="280"/>
      <c r="V262" s="280"/>
      <c r="W262" s="280"/>
      <c r="X262" s="280"/>
      <c r="Y262" s="113"/>
      <c r="Z262" s="113"/>
      <c r="AA262" s="275"/>
      <c r="AB262" s="113"/>
      <c r="AC262" s="113"/>
      <c r="AD262" s="113"/>
      <c r="AE262" s="133"/>
      <c r="AG262" s="133"/>
      <c r="AH262" s="133"/>
      <c r="AI262" s="132">
        <f t="shared" si="84"/>
        <v>338377</v>
      </c>
      <c r="AJ262" s="132">
        <f t="shared" si="85"/>
        <v>338377</v>
      </c>
      <c r="AK262" s="133">
        <f t="shared" si="86"/>
        <v>0</v>
      </c>
      <c r="AL262" s="132"/>
      <c r="AM262" s="133"/>
      <c r="AN262" s="246">
        <v>44841</v>
      </c>
      <c r="AO262" s="137"/>
      <c r="AP262" s="97"/>
      <c r="AQ262" s="97"/>
      <c r="AR262" s="97"/>
      <c r="AS262" s="97"/>
      <c r="AT262" s="97"/>
      <c r="AU262" s="97"/>
      <c r="AV262" s="97"/>
      <c r="AW262" s="97"/>
      <c r="AX262" s="97"/>
      <c r="AY262" s="97"/>
      <c r="AZ262" s="97"/>
      <c r="BA262" s="97"/>
      <c r="BB262" s="97"/>
      <c r="BC262" s="97"/>
      <c r="BD262" s="97"/>
      <c r="BE262" s="97"/>
    </row>
    <row r="263" s="115" customFormat="1" customHeight="1" spans="1:57">
      <c r="A263" s="115" t="s">
        <v>4250</v>
      </c>
      <c r="B263" s="111" t="s">
        <v>4251</v>
      </c>
      <c r="C263" s="111" t="s">
        <v>4252</v>
      </c>
      <c r="D263" s="121" t="s">
        <v>4253</v>
      </c>
      <c r="E263" s="266" t="s">
        <v>4254</v>
      </c>
      <c r="F263" s="267">
        <v>1</v>
      </c>
      <c r="G263" s="268">
        <v>1781</v>
      </c>
      <c r="H263" s="268">
        <v>23.01</v>
      </c>
      <c r="I263" s="274" t="s">
        <v>2665</v>
      </c>
      <c r="J263" s="113" t="s">
        <v>4255</v>
      </c>
      <c r="K263" s="266">
        <v>25.98</v>
      </c>
      <c r="L263" s="266" t="s">
        <v>4256</v>
      </c>
      <c r="M263" s="275" t="s">
        <v>4257</v>
      </c>
      <c r="N263" s="113" t="s">
        <v>56</v>
      </c>
      <c r="O263" s="113"/>
      <c r="P263" s="113"/>
      <c r="Q263" s="113">
        <v>40779.97</v>
      </c>
      <c r="R263" s="113">
        <v>938347</v>
      </c>
      <c r="S263" s="280">
        <v>938347</v>
      </c>
      <c r="T263" s="281">
        <f t="shared" si="83"/>
        <v>0</v>
      </c>
      <c r="U263" s="280"/>
      <c r="V263" s="280">
        <v>1495</v>
      </c>
      <c r="W263" s="280">
        <v>550</v>
      </c>
      <c r="X263" s="280">
        <v>119072</v>
      </c>
      <c r="Y263" s="113" t="s">
        <v>2669</v>
      </c>
      <c r="Z263" s="113" t="s">
        <v>48</v>
      </c>
      <c r="AA263" s="275">
        <v>44021</v>
      </c>
      <c r="AB263" s="113" t="s">
        <v>4258</v>
      </c>
      <c r="AC263" s="113"/>
      <c r="AD263" s="113"/>
      <c r="AE263" s="133"/>
      <c r="AG263" s="133"/>
      <c r="AH263" s="133"/>
      <c r="AI263" s="132">
        <f t="shared" si="84"/>
        <v>1059464</v>
      </c>
      <c r="AJ263" s="132">
        <f t="shared" si="85"/>
        <v>1059464</v>
      </c>
      <c r="AK263" s="133">
        <f t="shared" si="86"/>
        <v>0</v>
      </c>
      <c r="AL263" s="132"/>
      <c r="AM263" s="133"/>
      <c r="AN263" s="246">
        <v>44841</v>
      </c>
      <c r="AO263" s="137"/>
      <c r="AP263" s="97"/>
      <c r="AQ263" s="97"/>
      <c r="AR263" s="97"/>
      <c r="AS263" s="97"/>
      <c r="AT263" s="97"/>
      <c r="AU263" s="97"/>
      <c r="AV263" s="97"/>
      <c r="AW263" s="97"/>
      <c r="AX263" s="97"/>
      <c r="AY263" s="97"/>
      <c r="AZ263" s="97"/>
      <c r="BA263" s="97"/>
      <c r="BB263" s="97"/>
      <c r="BC263" s="97"/>
      <c r="BD263" s="97"/>
      <c r="BE263" s="97"/>
    </row>
    <row r="264" s="115" customFormat="1" customHeight="1" spans="1:57">
      <c r="A264" s="115" t="s">
        <v>4259</v>
      </c>
      <c r="B264" s="111" t="s">
        <v>4260</v>
      </c>
      <c r="C264" s="111" t="s">
        <v>4261</v>
      </c>
      <c r="D264" s="121" t="s">
        <v>4262</v>
      </c>
      <c r="E264" s="266">
        <v>13273941191</v>
      </c>
      <c r="F264" s="267">
        <v>1</v>
      </c>
      <c r="G264" s="268">
        <v>1615</v>
      </c>
      <c r="H264" s="268">
        <v>33</v>
      </c>
      <c r="I264" s="274" t="s">
        <v>2657</v>
      </c>
      <c r="J264" s="113" t="s">
        <v>4263</v>
      </c>
      <c r="K264" s="266">
        <v>31.56</v>
      </c>
      <c r="L264" s="266" t="s">
        <v>2842</v>
      </c>
      <c r="M264" s="275" t="s">
        <v>3665</v>
      </c>
      <c r="N264" s="113" t="s">
        <v>66</v>
      </c>
      <c r="O264" s="113"/>
      <c r="P264" s="113"/>
      <c r="Q264" s="113">
        <v>46859.06</v>
      </c>
      <c r="R264" s="113">
        <v>1478872</v>
      </c>
      <c r="S264" s="280">
        <v>748872</v>
      </c>
      <c r="T264" s="281">
        <f t="shared" si="83"/>
        <v>730000</v>
      </c>
      <c r="U264" s="280"/>
      <c r="V264" s="280"/>
      <c r="W264" s="280"/>
      <c r="X264" s="280"/>
      <c r="Y264" s="113"/>
      <c r="Z264" s="113"/>
      <c r="AA264" s="275"/>
      <c r="AB264" s="113" t="s">
        <v>4264</v>
      </c>
      <c r="AC264" s="113"/>
      <c r="AD264" s="113"/>
      <c r="AE264" s="133"/>
      <c r="AG264" s="133"/>
      <c r="AH264" s="133"/>
      <c r="AI264" s="132">
        <f t="shared" si="84"/>
        <v>748872</v>
      </c>
      <c r="AJ264" s="132">
        <f t="shared" si="85"/>
        <v>748872</v>
      </c>
      <c r="AK264" s="133">
        <f t="shared" si="86"/>
        <v>0</v>
      </c>
      <c r="AL264" s="132"/>
      <c r="AM264" s="133"/>
      <c r="AN264" s="246">
        <v>44841</v>
      </c>
      <c r="AO264" s="137"/>
      <c r="AP264" s="97"/>
      <c r="AQ264" s="97"/>
      <c r="AR264" s="97"/>
      <c r="AS264" s="97"/>
      <c r="AT264" s="97"/>
      <c r="AU264" s="97"/>
      <c r="AV264" s="97"/>
      <c r="AW264" s="97"/>
      <c r="AX264" s="97"/>
      <c r="AY264" s="97"/>
      <c r="AZ264" s="97"/>
      <c r="BA264" s="97"/>
      <c r="BB264" s="97"/>
      <c r="BC264" s="97"/>
      <c r="BD264" s="97"/>
      <c r="BE264" s="97"/>
    </row>
    <row r="265" s="115" customFormat="1" customHeight="1" spans="1:57">
      <c r="A265" s="115" t="s">
        <v>4265</v>
      </c>
      <c r="B265" s="111" t="s">
        <v>4266</v>
      </c>
      <c r="C265" s="111" t="s">
        <v>4267</v>
      </c>
      <c r="D265" s="121" t="s">
        <v>4268</v>
      </c>
      <c r="E265" s="266">
        <v>16603996005</v>
      </c>
      <c r="F265" s="267">
        <v>3</v>
      </c>
      <c r="G265" s="268">
        <v>3877</v>
      </c>
      <c r="H265" s="268">
        <v>22.05</v>
      </c>
      <c r="I265" s="274" t="s">
        <v>2657</v>
      </c>
      <c r="J265" s="113" t="s">
        <v>4269</v>
      </c>
      <c r="K265" s="266">
        <v>21.68</v>
      </c>
      <c r="L265" s="266" t="s">
        <v>4270</v>
      </c>
      <c r="M265" s="275" t="s">
        <v>4271</v>
      </c>
      <c r="N265" s="113" t="s">
        <v>56</v>
      </c>
      <c r="O265" s="113"/>
      <c r="P265" s="113"/>
      <c r="Q265" s="113">
        <v>31062.78</v>
      </c>
      <c r="R265" s="113">
        <v>684934</v>
      </c>
      <c r="S265" s="280">
        <v>684934</v>
      </c>
      <c r="T265" s="281">
        <f t="shared" si="83"/>
        <v>0</v>
      </c>
      <c r="U265" s="280"/>
      <c r="V265" s="280">
        <v>1433</v>
      </c>
      <c r="W265" s="280">
        <v>550</v>
      </c>
      <c r="X265" s="280"/>
      <c r="Y265" s="113" t="s">
        <v>2669</v>
      </c>
      <c r="Z265" s="113"/>
      <c r="AA265" s="275"/>
      <c r="AB265" s="113"/>
      <c r="AC265" s="113"/>
      <c r="AD265" s="113"/>
      <c r="AE265" s="133"/>
      <c r="AG265" s="133"/>
      <c r="AH265" s="133"/>
      <c r="AI265" s="132">
        <f t="shared" si="84"/>
        <v>686917</v>
      </c>
      <c r="AJ265" s="132">
        <f t="shared" si="85"/>
        <v>686917</v>
      </c>
      <c r="AK265" s="133">
        <f t="shared" si="86"/>
        <v>0</v>
      </c>
      <c r="AL265" s="132"/>
      <c r="AM265" s="133"/>
      <c r="AN265" s="246">
        <v>44841</v>
      </c>
      <c r="AO265" s="137"/>
      <c r="AP265" s="97"/>
      <c r="AQ265" s="97"/>
      <c r="AR265" s="97"/>
      <c r="AS265" s="97"/>
      <c r="AT265" s="97"/>
      <c r="AU265" s="97"/>
      <c r="AV265" s="97"/>
      <c r="AW265" s="97"/>
      <c r="AX265" s="97"/>
      <c r="AY265" s="97"/>
      <c r="AZ265" s="97"/>
      <c r="BA265" s="97"/>
      <c r="BB265" s="97"/>
      <c r="BC265" s="97"/>
      <c r="BD265" s="97"/>
      <c r="BE265" s="97"/>
    </row>
    <row r="266" s="115" customFormat="1" customHeight="1" spans="1:57">
      <c r="A266" s="115" t="s">
        <v>4272</v>
      </c>
      <c r="B266" s="111" t="s">
        <v>4273</v>
      </c>
      <c r="C266" s="554" t="s">
        <v>4274</v>
      </c>
      <c r="D266" s="121" t="s">
        <v>4275</v>
      </c>
      <c r="E266" s="266">
        <v>13849503836</v>
      </c>
      <c r="F266" s="267">
        <v>4</v>
      </c>
      <c r="G266" s="268">
        <v>464</v>
      </c>
      <c r="H266" s="268">
        <v>16.22</v>
      </c>
      <c r="I266" s="274" t="s">
        <v>2657</v>
      </c>
      <c r="J266" s="113" t="s">
        <v>4276</v>
      </c>
      <c r="K266" s="266">
        <v>17.68</v>
      </c>
      <c r="L266" s="266" t="s">
        <v>2848</v>
      </c>
      <c r="M266" s="275" t="s">
        <v>2848</v>
      </c>
      <c r="N266" s="113" t="s">
        <v>66</v>
      </c>
      <c r="O266" s="113"/>
      <c r="P266" s="113"/>
      <c r="Q266" s="113">
        <v>26297.85</v>
      </c>
      <c r="R266" s="113">
        <v>464946</v>
      </c>
      <c r="S266" s="280">
        <v>234946</v>
      </c>
      <c r="T266" s="281">
        <f t="shared" si="83"/>
        <v>230000</v>
      </c>
      <c r="U266" s="280"/>
      <c r="V266" s="280"/>
      <c r="W266" s="280"/>
      <c r="X266" s="280"/>
      <c r="Y266" s="113"/>
      <c r="Z266" s="113"/>
      <c r="AA266" s="275"/>
      <c r="AB266" s="113" t="s">
        <v>4277</v>
      </c>
      <c r="AC266" s="113"/>
      <c r="AD266" s="113"/>
      <c r="AE266" s="133"/>
      <c r="AG266" s="133"/>
      <c r="AH266" s="133"/>
      <c r="AI266" s="132">
        <f t="shared" si="84"/>
        <v>234946</v>
      </c>
      <c r="AJ266" s="132">
        <f t="shared" si="85"/>
        <v>234946</v>
      </c>
      <c r="AK266" s="133">
        <f t="shared" si="86"/>
        <v>0</v>
      </c>
      <c r="AL266" s="132"/>
      <c r="AM266" s="133"/>
      <c r="AN266" s="246">
        <v>44841</v>
      </c>
      <c r="AO266" s="137"/>
      <c r="AP266" s="97"/>
      <c r="AQ266" s="97"/>
      <c r="AR266" s="97"/>
      <c r="AS266" s="97"/>
      <c r="AT266" s="97"/>
      <c r="AU266" s="97"/>
      <c r="AV266" s="97"/>
      <c r="AW266" s="97"/>
      <c r="AX266" s="97"/>
      <c r="AY266" s="97"/>
      <c r="AZ266" s="97"/>
      <c r="BA266" s="97"/>
      <c r="BB266" s="97"/>
      <c r="BC266" s="97"/>
      <c r="BD266" s="97"/>
      <c r="BE266" s="97"/>
    </row>
    <row r="267" s="115" customFormat="1" customHeight="1" spans="1:57">
      <c r="A267" s="115" t="s">
        <v>4278</v>
      </c>
      <c r="B267" s="111" t="s">
        <v>4279</v>
      </c>
      <c r="C267" s="554" t="s">
        <v>4280</v>
      </c>
      <c r="D267" s="121" t="s">
        <v>4281</v>
      </c>
      <c r="E267" s="266">
        <v>13839120293</v>
      </c>
      <c r="F267" s="267">
        <v>4</v>
      </c>
      <c r="G267" s="268">
        <v>4249</v>
      </c>
      <c r="H267" s="268">
        <v>17.58</v>
      </c>
      <c r="I267" s="274" t="s">
        <v>2657</v>
      </c>
      <c r="J267" s="113" t="s">
        <v>4282</v>
      </c>
      <c r="K267" s="266">
        <v>15.5</v>
      </c>
      <c r="L267" s="266" t="s">
        <v>2848</v>
      </c>
      <c r="M267" s="275" t="s">
        <v>2659</v>
      </c>
      <c r="N267" s="113" t="s">
        <v>66</v>
      </c>
      <c r="O267" s="113"/>
      <c r="P267" s="113"/>
      <c r="Q267" s="113">
        <v>26170.26</v>
      </c>
      <c r="R267" s="113">
        <v>405639</v>
      </c>
      <c r="S267" s="280">
        <v>205639</v>
      </c>
      <c r="T267" s="281">
        <f t="shared" si="83"/>
        <v>200000</v>
      </c>
      <c r="U267" s="280"/>
      <c r="V267" s="280"/>
      <c r="W267" s="280"/>
      <c r="X267" s="280"/>
      <c r="Y267" s="113"/>
      <c r="Z267" s="113"/>
      <c r="AA267" s="275"/>
      <c r="AB267" s="113"/>
      <c r="AC267" s="113"/>
      <c r="AD267" s="113"/>
      <c r="AE267" s="133"/>
      <c r="AG267" s="133"/>
      <c r="AH267" s="133"/>
      <c r="AI267" s="132">
        <f t="shared" si="84"/>
        <v>205639</v>
      </c>
      <c r="AJ267" s="132">
        <f t="shared" si="85"/>
        <v>205639</v>
      </c>
      <c r="AK267" s="133">
        <f t="shared" si="86"/>
        <v>0</v>
      </c>
      <c r="AL267" s="132"/>
      <c r="AM267" s="133"/>
      <c r="AN267" s="246">
        <v>44841</v>
      </c>
      <c r="AO267" s="137"/>
      <c r="AP267" s="97"/>
      <c r="AQ267" s="97"/>
      <c r="AR267" s="97"/>
      <c r="AS267" s="97"/>
      <c r="AT267" s="97"/>
      <c r="AU267" s="97"/>
      <c r="AV267" s="97"/>
      <c r="AW267" s="97"/>
      <c r="AX267" s="97"/>
      <c r="AY267" s="97"/>
      <c r="AZ267" s="97"/>
      <c r="BA267" s="97"/>
      <c r="BB267" s="97"/>
      <c r="BC267" s="97"/>
      <c r="BD267" s="97"/>
      <c r="BE267" s="97"/>
    </row>
    <row r="268" s="115" customFormat="1" customHeight="1" spans="1:57">
      <c r="A268" s="115" t="s">
        <v>4283</v>
      </c>
      <c r="B268" s="111" t="s">
        <v>4284</v>
      </c>
      <c r="C268" s="111" t="s">
        <v>4285</v>
      </c>
      <c r="D268" s="121" t="s">
        <v>4286</v>
      </c>
      <c r="E268" s="266">
        <v>13653803528</v>
      </c>
      <c r="F268" s="267">
        <v>3</v>
      </c>
      <c r="G268" s="268">
        <v>3733</v>
      </c>
      <c r="H268" s="268">
        <v>15.45</v>
      </c>
      <c r="I268" s="274" t="s">
        <v>2657</v>
      </c>
      <c r="J268" s="113" t="s">
        <v>4287</v>
      </c>
      <c r="K268" s="266">
        <v>15.03</v>
      </c>
      <c r="L268" s="266" t="s">
        <v>4288</v>
      </c>
      <c r="M268" s="275" t="s">
        <v>4289</v>
      </c>
      <c r="N268" s="113" t="s">
        <v>56</v>
      </c>
      <c r="O268" s="113"/>
      <c r="P268" s="113"/>
      <c r="Q268" s="113">
        <v>31497.6</v>
      </c>
      <c r="R268" s="113">
        <v>486638</v>
      </c>
      <c r="S268" s="280">
        <v>486638</v>
      </c>
      <c r="T268" s="281">
        <f t="shared" si="83"/>
        <v>0</v>
      </c>
      <c r="U268" s="280"/>
      <c r="V268" s="280">
        <v>1004</v>
      </c>
      <c r="W268" s="280">
        <v>550</v>
      </c>
      <c r="X268" s="280"/>
      <c r="Y268" s="113" t="s">
        <v>2669</v>
      </c>
      <c r="Z268" s="113" t="s">
        <v>48</v>
      </c>
      <c r="AA268" s="275">
        <v>44053</v>
      </c>
      <c r="AB268" s="113"/>
      <c r="AC268" s="113"/>
      <c r="AD268" s="113"/>
      <c r="AE268" s="133"/>
      <c r="AG268" s="133"/>
      <c r="AH268" s="133"/>
      <c r="AI268" s="132">
        <f t="shared" si="84"/>
        <v>488192</v>
      </c>
      <c r="AJ268" s="132">
        <f t="shared" si="85"/>
        <v>488192</v>
      </c>
      <c r="AK268" s="133">
        <f t="shared" si="86"/>
        <v>0</v>
      </c>
      <c r="AL268" s="132"/>
      <c r="AM268" s="133"/>
      <c r="AN268" s="246">
        <v>44841</v>
      </c>
      <c r="AO268" s="137"/>
      <c r="AP268" s="97"/>
      <c r="AQ268" s="97"/>
      <c r="AR268" s="97"/>
      <c r="AS268" s="97"/>
      <c r="AT268" s="97"/>
      <c r="AU268" s="97"/>
      <c r="AV268" s="97"/>
      <c r="AW268" s="97"/>
      <c r="AX268" s="97"/>
      <c r="AY268" s="97"/>
      <c r="AZ268" s="97"/>
      <c r="BA268" s="97"/>
      <c r="BB268" s="97"/>
      <c r="BC268" s="97"/>
      <c r="BD268" s="97"/>
      <c r="BE268" s="97"/>
    </row>
    <row r="269" s="115" customFormat="1" customHeight="1" spans="1:57">
      <c r="A269" s="115" t="s">
        <v>4290</v>
      </c>
      <c r="B269" s="111" t="s">
        <v>4291</v>
      </c>
      <c r="C269" s="111" t="s">
        <v>4292</v>
      </c>
      <c r="D269" s="121" t="s">
        <v>4293</v>
      </c>
      <c r="E269" s="266">
        <v>15649815677</v>
      </c>
      <c r="F269" s="267">
        <v>1</v>
      </c>
      <c r="G269" s="268">
        <v>1654</v>
      </c>
      <c r="H269" s="268">
        <v>23.41</v>
      </c>
      <c r="I269" s="274" t="s">
        <v>2657</v>
      </c>
      <c r="J269" s="113" t="s">
        <v>4294</v>
      </c>
      <c r="K269" s="266">
        <v>24.14</v>
      </c>
      <c r="L269" s="266" t="s">
        <v>2785</v>
      </c>
      <c r="M269" s="275" t="s">
        <v>3772</v>
      </c>
      <c r="N269" s="113" t="s">
        <v>56</v>
      </c>
      <c r="O269" s="113"/>
      <c r="P269" s="113"/>
      <c r="Q269" s="113">
        <v>46124.03</v>
      </c>
      <c r="R269" s="113">
        <v>1079764</v>
      </c>
      <c r="S269" s="280">
        <v>1079764</v>
      </c>
      <c r="T269" s="281">
        <f t="shared" si="83"/>
        <v>0</v>
      </c>
      <c r="U269" s="280"/>
      <c r="V269" s="280">
        <v>1521</v>
      </c>
      <c r="W269" s="280">
        <v>560</v>
      </c>
      <c r="X269" s="280"/>
      <c r="Y269" s="113" t="s">
        <v>2669</v>
      </c>
      <c r="Z269" s="113"/>
      <c r="AA269" s="275"/>
      <c r="AB269" s="113"/>
      <c r="AC269" s="113"/>
      <c r="AD269" s="113"/>
      <c r="AE269" s="133"/>
      <c r="AG269" s="133"/>
      <c r="AH269" s="133"/>
      <c r="AI269" s="132">
        <f t="shared" si="84"/>
        <v>1081845</v>
      </c>
      <c r="AJ269" s="132">
        <f t="shared" si="85"/>
        <v>1081845</v>
      </c>
      <c r="AK269" s="133">
        <f t="shared" si="86"/>
        <v>0</v>
      </c>
      <c r="AL269" s="132"/>
      <c r="AM269" s="133"/>
      <c r="AN269" s="246">
        <v>44841</v>
      </c>
      <c r="AO269" s="137"/>
      <c r="AP269" s="97"/>
      <c r="AQ269" s="97"/>
      <c r="AR269" s="97"/>
      <c r="AS269" s="97"/>
      <c r="AT269" s="97"/>
      <c r="AU269" s="97"/>
      <c r="AV269" s="97"/>
      <c r="AW269" s="97"/>
      <c r="AX269" s="97"/>
      <c r="AY269" s="97"/>
      <c r="AZ269" s="97"/>
      <c r="BA269" s="97"/>
      <c r="BB269" s="97"/>
      <c r="BC269" s="97"/>
      <c r="BD269" s="97"/>
      <c r="BE269" s="97"/>
    </row>
    <row r="270" s="115" customFormat="1" customHeight="1" spans="1:57">
      <c r="A270" s="115" t="s">
        <v>4295</v>
      </c>
      <c r="B270" s="111" t="s">
        <v>4291</v>
      </c>
      <c r="C270" s="111" t="s">
        <v>4292</v>
      </c>
      <c r="D270" s="121" t="s">
        <v>4293</v>
      </c>
      <c r="E270" s="266">
        <v>15649815677</v>
      </c>
      <c r="F270" s="267">
        <v>1</v>
      </c>
      <c r="G270" s="268">
        <v>1655</v>
      </c>
      <c r="H270" s="268">
        <v>27.18</v>
      </c>
      <c r="I270" s="274" t="s">
        <v>2657</v>
      </c>
      <c r="J270" s="113" t="s">
        <v>4296</v>
      </c>
      <c r="K270" s="266">
        <v>25.28</v>
      </c>
      <c r="L270" s="266" t="s">
        <v>2785</v>
      </c>
      <c r="M270" s="275" t="s">
        <v>3772</v>
      </c>
      <c r="N270" s="113" t="s">
        <v>56</v>
      </c>
      <c r="O270" s="113"/>
      <c r="P270" s="113"/>
      <c r="Q270" s="113">
        <v>46074.8</v>
      </c>
      <c r="R270" s="113">
        <v>1252313</v>
      </c>
      <c r="S270" s="280">
        <v>1252313</v>
      </c>
      <c r="T270" s="281">
        <f t="shared" si="83"/>
        <v>0</v>
      </c>
      <c r="U270" s="280"/>
      <c r="V270" s="280">
        <v>1766</v>
      </c>
      <c r="W270" s="280">
        <v>560</v>
      </c>
      <c r="X270" s="280"/>
      <c r="Y270" s="113" t="s">
        <v>2669</v>
      </c>
      <c r="Z270" s="113"/>
      <c r="AA270" s="275"/>
      <c r="AB270" s="113"/>
      <c r="AC270" s="113"/>
      <c r="AD270" s="113"/>
      <c r="AE270" s="133"/>
      <c r="AG270" s="133"/>
      <c r="AH270" s="133"/>
      <c r="AI270" s="132">
        <f t="shared" si="84"/>
        <v>1254639</v>
      </c>
      <c r="AJ270" s="132">
        <f t="shared" si="85"/>
        <v>1254639</v>
      </c>
      <c r="AK270" s="133">
        <f t="shared" si="86"/>
        <v>0</v>
      </c>
      <c r="AL270" s="132"/>
      <c r="AM270" s="133"/>
      <c r="AN270" s="246">
        <v>44841</v>
      </c>
      <c r="AO270" s="137"/>
      <c r="AP270" s="97"/>
      <c r="AQ270" s="97"/>
      <c r="AR270" s="97"/>
      <c r="AS270" s="97"/>
      <c r="AT270" s="97"/>
      <c r="AU270" s="97"/>
      <c r="AV270" s="97"/>
      <c r="AW270" s="97"/>
      <c r="AX270" s="97"/>
      <c r="AY270" s="97"/>
      <c r="AZ270" s="97"/>
      <c r="BA270" s="97"/>
      <c r="BB270" s="97"/>
      <c r="BC270" s="97"/>
      <c r="BD270" s="97"/>
      <c r="BE270" s="97"/>
    </row>
    <row r="271" s="115" customFormat="1" customHeight="1" spans="1:57">
      <c r="A271" s="115" t="s">
        <v>4297</v>
      </c>
      <c r="B271" s="111" t="s">
        <v>2345</v>
      </c>
      <c r="C271" s="554" t="s">
        <v>4298</v>
      </c>
      <c r="D271" s="121" t="s">
        <v>4299</v>
      </c>
      <c r="E271" s="266">
        <v>13273941191</v>
      </c>
      <c r="F271" s="267">
        <v>4</v>
      </c>
      <c r="G271" s="268">
        <v>4441</v>
      </c>
      <c r="H271" s="268">
        <v>20.01</v>
      </c>
      <c r="I271" s="274" t="s">
        <v>2657</v>
      </c>
      <c r="J271" s="113" t="s">
        <v>4300</v>
      </c>
      <c r="K271" s="266">
        <v>17.14</v>
      </c>
      <c r="L271" s="266" t="s">
        <v>2842</v>
      </c>
      <c r="M271" s="275" t="s">
        <v>3665</v>
      </c>
      <c r="N271" s="113" t="s">
        <v>66</v>
      </c>
      <c r="O271" s="113"/>
      <c r="P271" s="113"/>
      <c r="Q271" s="113">
        <v>26661.9</v>
      </c>
      <c r="R271" s="113">
        <v>456985</v>
      </c>
      <c r="S271" s="280">
        <v>236985</v>
      </c>
      <c r="T271" s="281">
        <f t="shared" si="83"/>
        <v>220000</v>
      </c>
      <c r="U271" s="280"/>
      <c r="V271" s="280"/>
      <c r="W271" s="280"/>
      <c r="X271" s="280"/>
      <c r="Y271" s="113"/>
      <c r="Z271" s="113"/>
      <c r="AA271" s="275"/>
      <c r="AB271" s="113"/>
      <c r="AC271" s="113"/>
      <c r="AD271" s="113"/>
      <c r="AE271" s="133"/>
      <c r="AG271" s="133"/>
      <c r="AH271" s="133"/>
      <c r="AI271" s="132">
        <f t="shared" ref="AI271:AI282" si="87">S271+U271+V271+W271+X271+AC271+AD271+AE271</f>
        <v>236985</v>
      </c>
      <c r="AJ271" s="132">
        <f t="shared" ref="AJ271:AJ282" si="88">S271+U271+V271+W271+X271</f>
        <v>236985</v>
      </c>
      <c r="AK271" s="133">
        <f t="shared" ref="AK271:AK282" si="89">AI271-AJ271</f>
        <v>0</v>
      </c>
      <c r="AL271" s="132"/>
      <c r="AM271" s="133"/>
      <c r="AN271" s="246">
        <v>44841</v>
      </c>
      <c r="AO271" s="137"/>
      <c r="AP271" s="97"/>
      <c r="AQ271" s="97"/>
      <c r="AR271" s="97"/>
      <c r="AS271" s="97"/>
      <c r="AT271" s="97"/>
      <c r="AU271" s="97"/>
      <c r="AV271" s="97"/>
      <c r="AW271" s="97"/>
      <c r="AX271" s="97"/>
      <c r="AY271" s="97"/>
      <c r="AZ271" s="97"/>
      <c r="BA271" s="97"/>
      <c r="BB271" s="97"/>
      <c r="BC271" s="97"/>
      <c r="BD271" s="97"/>
      <c r="BE271" s="97"/>
    </row>
    <row r="272" s="115" customFormat="1" customHeight="1" spans="1:57">
      <c r="A272" s="115" t="s">
        <v>4301</v>
      </c>
      <c r="B272" s="111" t="s">
        <v>4302</v>
      </c>
      <c r="C272" s="554" t="s">
        <v>4303</v>
      </c>
      <c r="D272" s="121" t="s">
        <v>4304</v>
      </c>
      <c r="E272" s="266">
        <v>13273941191</v>
      </c>
      <c r="F272" s="267">
        <v>4</v>
      </c>
      <c r="G272" s="268">
        <v>4460</v>
      </c>
      <c r="H272" s="268">
        <v>18.45</v>
      </c>
      <c r="I272" s="274" t="s">
        <v>2657</v>
      </c>
      <c r="J272" s="113" t="s">
        <v>4305</v>
      </c>
      <c r="K272" s="266">
        <v>16.26</v>
      </c>
      <c r="L272" s="266" t="s">
        <v>2842</v>
      </c>
      <c r="M272" s="275" t="s">
        <v>3665</v>
      </c>
      <c r="N272" s="113" t="s">
        <v>66</v>
      </c>
      <c r="O272" s="113"/>
      <c r="P272" s="113"/>
      <c r="Q272" s="113">
        <v>27174.17</v>
      </c>
      <c r="R272" s="113">
        <v>441852</v>
      </c>
      <c r="S272" s="280">
        <v>221852</v>
      </c>
      <c r="T272" s="281">
        <f t="shared" si="83"/>
        <v>220000</v>
      </c>
      <c r="U272" s="280"/>
      <c r="V272" s="280"/>
      <c r="W272" s="280"/>
      <c r="X272" s="280"/>
      <c r="Y272" s="113"/>
      <c r="Z272" s="113"/>
      <c r="AA272" s="275"/>
      <c r="AB272" s="113"/>
      <c r="AC272" s="113"/>
      <c r="AD272" s="113"/>
      <c r="AE272" s="133"/>
      <c r="AG272" s="133"/>
      <c r="AH272" s="133"/>
      <c r="AI272" s="132">
        <f t="shared" si="87"/>
        <v>221852</v>
      </c>
      <c r="AJ272" s="132">
        <f t="shared" si="88"/>
        <v>221852</v>
      </c>
      <c r="AK272" s="133">
        <f t="shared" si="89"/>
        <v>0</v>
      </c>
      <c r="AL272" s="132"/>
      <c r="AM272" s="133"/>
      <c r="AN272" s="246">
        <v>44841</v>
      </c>
      <c r="AO272" s="137"/>
      <c r="AP272" s="97"/>
      <c r="AQ272" s="97"/>
      <c r="AR272" s="97"/>
      <c r="AS272" s="97"/>
      <c r="AT272" s="97"/>
      <c r="AU272" s="97"/>
      <c r="AV272" s="97"/>
      <c r="AW272" s="97"/>
      <c r="AX272" s="97"/>
      <c r="AY272" s="97"/>
      <c r="AZ272" s="97"/>
      <c r="BA272" s="97"/>
      <c r="BB272" s="97"/>
      <c r="BC272" s="97"/>
      <c r="BD272" s="97"/>
      <c r="BE272" s="97"/>
    </row>
    <row r="273" s="115" customFormat="1" customHeight="1" spans="1:57">
      <c r="A273" s="115" t="s">
        <v>4306</v>
      </c>
      <c r="B273" s="111" t="s">
        <v>4307</v>
      </c>
      <c r="C273" s="111" t="s">
        <v>4308</v>
      </c>
      <c r="D273" s="121" t="s">
        <v>4309</v>
      </c>
      <c r="E273" s="266">
        <v>18611291931</v>
      </c>
      <c r="F273" s="267">
        <v>3</v>
      </c>
      <c r="G273" s="268">
        <v>3321</v>
      </c>
      <c r="H273" s="268">
        <v>20.19</v>
      </c>
      <c r="I273" s="274" t="s">
        <v>2657</v>
      </c>
      <c r="J273" s="113" t="s">
        <v>4310</v>
      </c>
      <c r="K273" s="266">
        <v>17.48</v>
      </c>
      <c r="L273" s="266" t="s">
        <v>4311</v>
      </c>
      <c r="M273" s="275" t="s">
        <v>4312</v>
      </c>
      <c r="N273" s="113" t="s">
        <v>66</v>
      </c>
      <c r="O273" s="113"/>
      <c r="P273" s="113"/>
      <c r="Q273" s="113">
        <v>32677.35</v>
      </c>
      <c r="R273" s="113">
        <v>659756</v>
      </c>
      <c r="S273" s="280">
        <v>339756</v>
      </c>
      <c r="T273" s="281">
        <f t="shared" si="83"/>
        <v>320000</v>
      </c>
      <c r="U273" s="280"/>
      <c r="V273" s="280">
        <v>1312</v>
      </c>
      <c r="W273" s="280">
        <v>550</v>
      </c>
      <c r="X273" s="280"/>
      <c r="Y273" s="113"/>
      <c r="Z273" s="113"/>
      <c r="AA273" s="275"/>
      <c r="AB273" s="113"/>
      <c r="AC273" s="113"/>
      <c r="AD273" s="113"/>
      <c r="AE273" s="133"/>
      <c r="AG273" s="133"/>
      <c r="AH273" s="133"/>
      <c r="AI273" s="132">
        <f t="shared" si="87"/>
        <v>341618</v>
      </c>
      <c r="AJ273" s="132">
        <f t="shared" si="88"/>
        <v>341618</v>
      </c>
      <c r="AK273" s="133">
        <f t="shared" si="89"/>
        <v>0</v>
      </c>
      <c r="AL273" s="132"/>
      <c r="AM273" s="133"/>
      <c r="AN273" s="246">
        <v>44841</v>
      </c>
      <c r="AO273" s="137"/>
      <c r="AP273" s="97"/>
      <c r="AQ273" s="97"/>
      <c r="AR273" s="97"/>
      <c r="AS273" s="97"/>
      <c r="AT273" s="97"/>
      <c r="AU273" s="97"/>
      <c r="AV273" s="97"/>
      <c r="AW273" s="97"/>
      <c r="AX273" s="97"/>
      <c r="AY273" s="97"/>
      <c r="AZ273" s="97"/>
      <c r="BA273" s="97"/>
      <c r="BB273" s="97"/>
      <c r="BC273" s="97"/>
      <c r="BD273" s="97"/>
      <c r="BE273" s="97"/>
    </row>
    <row r="274" s="115" customFormat="1" customHeight="1" spans="1:57">
      <c r="A274" s="115" t="s">
        <v>4313</v>
      </c>
      <c r="B274" s="111" t="s">
        <v>4314</v>
      </c>
      <c r="C274" s="554" t="s">
        <v>4315</v>
      </c>
      <c r="D274" s="121" t="s">
        <v>4316</v>
      </c>
      <c r="E274" s="266">
        <v>18567398996</v>
      </c>
      <c r="F274" s="267">
        <v>4</v>
      </c>
      <c r="G274" s="268">
        <v>4421</v>
      </c>
      <c r="H274" s="268">
        <v>19.35</v>
      </c>
      <c r="I274" s="274" t="s">
        <v>2657</v>
      </c>
      <c r="J274" s="113" t="s">
        <v>4317</v>
      </c>
      <c r="K274" s="266">
        <v>15.13</v>
      </c>
      <c r="L274" s="266" t="s">
        <v>2691</v>
      </c>
      <c r="M274" s="275" t="s">
        <v>3356</v>
      </c>
      <c r="N274" s="113" t="s">
        <v>56</v>
      </c>
      <c r="O274" s="113"/>
      <c r="P274" s="113"/>
      <c r="Q274" s="113">
        <v>25358.55</v>
      </c>
      <c r="R274" s="113">
        <v>490688</v>
      </c>
      <c r="S274" s="280">
        <v>490688</v>
      </c>
      <c r="T274" s="281">
        <f t="shared" si="83"/>
        <v>0</v>
      </c>
      <c r="U274" s="280"/>
      <c r="V274" s="280">
        <v>1257</v>
      </c>
      <c r="W274" s="280">
        <v>550</v>
      </c>
      <c r="X274" s="280"/>
      <c r="Y274" s="113" t="s">
        <v>2669</v>
      </c>
      <c r="Z274" s="113"/>
      <c r="AA274" s="275"/>
      <c r="AB274" s="113"/>
      <c r="AC274" s="113"/>
      <c r="AD274" s="113"/>
      <c r="AE274" s="133"/>
      <c r="AG274" s="133"/>
      <c r="AH274" s="133"/>
      <c r="AI274" s="132">
        <f t="shared" si="87"/>
        <v>492495</v>
      </c>
      <c r="AJ274" s="132">
        <f t="shared" si="88"/>
        <v>492495</v>
      </c>
      <c r="AK274" s="133">
        <f t="shared" si="89"/>
        <v>0</v>
      </c>
      <c r="AL274" s="132"/>
      <c r="AM274" s="133"/>
      <c r="AN274" s="246">
        <v>44841</v>
      </c>
      <c r="AO274" s="137"/>
      <c r="AP274" s="97"/>
      <c r="AQ274" s="97"/>
      <c r="AR274" s="97"/>
      <c r="AS274" s="97"/>
      <c r="AT274" s="97"/>
      <c r="AU274" s="97"/>
      <c r="AV274" s="97"/>
      <c r="AW274" s="97"/>
      <c r="AX274" s="97"/>
      <c r="AY274" s="97"/>
      <c r="AZ274" s="97"/>
      <c r="BA274" s="97"/>
      <c r="BB274" s="97"/>
      <c r="BC274" s="97"/>
      <c r="BD274" s="97"/>
      <c r="BE274" s="97"/>
    </row>
    <row r="275" s="115" customFormat="1" customHeight="1" spans="1:57">
      <c r="A275" s="115" t="s">
        <v>4318</v>
      </c>
      <c r="B275" s="111" t="s">
        <v>4319</v>
      </c>
      <c r="C275" s="111" t="s">
        <v>4320</v>
      </c>
      <c r="D275" s="121" t="s">
        <v>4321</v>
      </c>
      <c r="E275" s="266">
        <v>13673696100</v>
      </c>
      <c r="F275" s="267">
        <v>3</v>
      </c>
      <c r="G275" s="268">
        <v>3394</v>
      </c>
      <c r="H275" s="268">
        <v>14.73</v>
      </c>
      <c r="I275" s="274" t="s">
        <v>2657</v>
      </c>
      <c r="J275" s="113" t="s">
        <v>4322</v>
      </c>
      <c r="K275" s="266">
        <v>12.77</v>
      </c>
      <c r="L275" s="266" t="s">
        <v>3538</v>
      </c>
      <c r="M275" s="275" t="s">
        <v>3023</v>
      </c>
      <c r="N275" s="113" t="s">
        <v>66</v>
      </c>
      <c r="O275" s="113"/>
      <c r="P275" s="113"/>
      <c r="Q275" s="113">
        <v>32559.59</v>
      </c>
      <c r="R275" s="113">
        <v>415786</v>
      </c>
      <c r="S275" s="280">
        <v>215786</v>
      </c>
      <c r="T275" s="281">
        <f t="shared" si="83"/>
        <v>200000</v>
      </c>
      <c r="U275" s="280"/>
      <c r="V275" s="280"/>
      <c r="W275" s="280"/>
      <c r="X275" s="280"/>
      <c r="Y275" s="113"/>
      <c r="Z275" s="113"/>
      <c r="AA275" s="275"/>
      <c r="AB275" s="113"/>
      <c r="AC275" s="113"/>
      <c r="AD275" s="113"/>
      <c r="AE275" s="133"/>
      <c r="AG275" s="133"/>
      <c r="AH275" s="133"/>
      <c r="AI275" s="132">
        <f t="shared" si="87"/>
        <v>215786</v>
      </c>
      <c r="AJ275" s="132">
        <f t="shared" si="88"/>
        <v>215786</v>
      </c>
      <c r="AK275" s="133">
        <f t="shared" si="89"/>
        <v>0</v>
      </c>
      <c r="AL275" s="132"/>
      <c r="AM275" s="133"/>
      <c r="AN275" s="246">
        <v>44841</v>
      </c>
      <c r="AO275" s="137"/>
      <c r="AP275" s="97"/>
      <c r="AQ275" s="97"/>
      <c r="AR275" s="97"/>
      <c r="AS275" s="97"/>
      <c r="AT275" s="97"/>
      <c r="AU275" s="97"/>
      <c r="AV275" s="97"/>
      <c r="AW275" s="97"/>
      <c r="AX275" s="97"/>
      <c r="AY275" s="97"/>
      <c r="AZ275" s="97"/>
      <c r="BA275" s="97"/>
      <c r="BB275" s="97"/>
      <c r="BC275" s="97"/>
      <c r="BD275" s="97"/>
      <c r="BE275" s="97"/>
    </row>
    <row r="276" s="115" customFormat="1" customHeight="1" spans="1:57">
      <c r="A276" s="115" t="s">
        <v>4323</v>
      </c>
      <c r="B276" s="111" t="s">
        <v>4324</v>
      </c>
      <c r="C276" s="111" t="s">
        <v>4325</v>
      </c>
      <c r="D276" s="121" t="s">
        <v>4326</v>
      </c>
      <c r="E276" s="266">
        <v>15091597605</v>
      </c>
      <c r="F276" s="267">
        <v>1</v>
      </c>
      <c r="G276" s="268">
        <v>1374</v>
      </c>
      <c r="H276" s="268">
        <v>16.02</v>
      </c>
      <c r="I276" s="274" t="s">
        <v>2657</v>
      </c>
      <c r="J276" s="113" t="s">
        <v>4327</v>
      </c>
      <c r="K276" s="266">
        <v>16.19</v>
      </c>
      <c r="L276" s="266" t="s">
        <v>2691</v>
      </c>
      <c r="M276" s="275" t="s">
        <v>4328</v>
      </c>
      <c r="N276" s="113" t="s">
        <v>66</v>
      </c>
      <c r="O276" s="113"/>
      <c r="P276" s="113"/>
      <c r="Q276" s="113">
        <v>47991.35</v>
      </c>
      <c r="R276" s="113">
        <v>768821</v>
      </c>
      <c r="S276" s="280">
        <v>398821</v>
      </c>
      <c r="T276" s="281"/>
      <c r="U276" s="280">
        <v>370000</v>
      </c>
      <c r="V276" s="280">
        <v>1041</v>
      </c>
      <c r="W276" s="280">
        <v>550</v>
      </c>
      <c r="X276" s="280"/>
      <c r="Y276" s="113" t="s">
        <v>2669</v>
      </c>
      <c r="Z276" s="113" t="s">
        <v>48</v>
      </c>
      <c r="AA276" s="275">
        <v>44022</v>
      </c>
      <c r="AB276" s="113"/>
      <c r="AC276" s="113"/>
      <c r="AD276" s="113"/>
      <c r="AE276" s="133"/>
      <c r="AG276" s="133"/>
      <c r="AH276" s="133"/>
      <c r="AI276" s="132">
        <f t="shared" si="87"/>
        <v>770412</v>
      </c>
      <c r="AJ276" s="132">
        <f t="shared" si="88"/>
        <v>770412</v>
      </c>
      <c r="AK276" s="133">
        <f t="shared" si="89"/>
        <v>0</v>
      </c>
      <c r="AL276" s="132"/>
      <c r="AM276" s="133"/>
      <c r="AN276" s="246">
        <v>44841</v>
      </c>
      <c r="AO276" s="137"/>
      <c r="AP276" s="97"/>
      <c r="AQ276" s="97"/>
      <c r="AR276" s="97"/>
      <c r="AS276" s="97"/>
      <c r="AT276" s="97"/>
      <c r="AU276" s="97"/>
      <c r="AV276" s="97"/>
      <c r="AW276" s="97"/>
      <c r="AX276" s="97"/>
      <c r="AY276" s="97"/>
      <c r="AZ276" s="97"/>
      <c r="BA276" s="97"/>
      <c r="BB276" s="97"/>
      <c r="BC276" s="97"/>
      <c r="BD276" s="97"/>
      <c r="BE276" s="97"/>
    </row>
    <row r="277" s="115" customFormat="1" customHeight="1" spans="1:57">
      <c r="A277" s="115" t="s">
        <v>4329</v>
      </c>
      <c r="B277" s="111" t="s">
        <v>4330</v>
      </c>
      <c r="C277" s="111" t="s">
        <v>4331</v>
      </c>
      <c r="D277" s="121" t="s">
        <v>4332</v>
      </c>
      <c r="E277" s="266">
        <v>15036073856</v>
      </c>
      <c r="F277" s="267">
        <v>3</v>
      </c>
      <c r="G277" s="268">
        <v>3144</v>
      </c>
      <c r="H277" s="268">
        <v>18.7</v>
      </c>
      <c r="I277" s="274" t="s">
        <v>2657</v>
      </c>
      <c r="J277" s="113" t="s">
        <v>4333</v>
      </c>
      <c r="K277" s="266">
        <v>12.98</v>
      </c>
      <c r="L277" s="266" t="s">
        <v>3956</v>
      </c>
      <c r="M277" s="275" t="s">
        <v>4334</v>
      </c>
      <c r="N277" s="113" t="s">
        <v>66</v>
      </c>
      <c r="O277" s="113"/>
      <c r="P277" s="113"/>
      <c r="Q277" s="113">
        <v>32294.38</v>
      </c>
      <c r="R277" s="113">
        <v>419181</v>
      </c>
      <c r="S277" s="280">
        <v>219181</v>
      </c>
      <c r="T277" s="281">
        <f>R277-S277</f>
        <v>200000</v>
      </c>
      <c r="U277" s="280"/>
      <c r="V277" s="280"/>
      <c r="W277" s="280"/>
      <c r="X277" s="280"/>
      <c r="Y277" s="113"/>
      <c r="Z277" s="113"/>
      <c r="AA277" s="275"/>
      <c r="AB277" s="113"/>
      <c r="AC277" s="113"/>
      <c r="AD277" s="113"/>
      <c r="AE277" s="133"/>
      <c r="AF277" s="115" t="s">
        <v>2771</v>
      </c>
      <c r="AG277" s="133"/>
      <c r="AH277" s="133"/>
      <c r="AI277" s="132">
        <f t="shared" si="87"/>
        <v>219181</v>
      </c>
      <c r="AJ277" s="132">
        <f t="shared" si="88"/>
        <v>219181</v>
      </c>
      <c r="AK277" s="133">
        <f t="shared" si="89"/>
        <v>0</v>
      </c>
      <c r="AL277" s="132"/>
      <c r="AM277" s="133"/>
      <c r="AN277" s="246">
        <v>44841</v>
      </c>
      <c r="AO277" s="137"/>
      <c r="AP277" s="97"/>
      <c r="AQ277" s="97"/>
      <c r="AR277" s="97"/>
      <c r="AS277" s="97"/>
      <c r="AT277" s="97"/>
      <c r="AU277" s="97"/>
      <c r="AV277" s="97"/>
      <c r="AW277" s="97"/>
      <c r="AX277" s="97"/>
      <c r="AY277" s="97"/>
      <c r="AZ277" s="97"/>
      <c r="BA277" s="97"/>
      <c r="BB277" s="97"/>
      <c r="BC277" s="97"/>
      <c r="BD277" s="97"/>
      <c r="BE277" s="97"/>
    </row>
    <row r="278" s="115" customFormat="1" customHeight="1" spans="1:57">
      <c r="A278" s="115" t="s">
        <v>4335</v>
      </c>
      <c r="B278" s="111" t="s">
        <v>4336</v>
      </c>
      <c r="C278" s="111" t="s">
        <v>4337</v>
      </c>
      <c r="D278" s="121" t="s">
        <v>4338</v>
      </c>
      <c r="E278" s="266">
        <v>18638150453</v>
      </c>
      <c r="F278" s="267">
        <v>3</v>
      </c>
      <c r="G278" s="268">
        <v>3231</v>
      </c>
      <c r="H278" s="268">
        <v>13.52</v>
      </c>
      <c r="I278" s="274" t="s">
        <v>2657</v>
      </c>
      <c r="J278" s="113" t="s">
        <v>4339</v>
      </c>
      <c r="K278" s="266">
        <v>13.68</v>
      </c>
      <c r="L278" s="266" t="s">
        <v>3911</v>
      </c>
      <c r="M278" s="275" t="s">
        <v>4328</v>
      </c>
      <c r="N278" s="113" t="s">
        <v>66</v>
      </c>
      <c r="O278" s="113"/>
      <c r="P278" s="113"/>
      <c r="Q278" s="113">
        <v>32085.09</v>
      </c>
      <c r="R278" s="113">
        <v>433790</v>
      </c>
      <c r="S278" s="280">
        <v>233790</v>
      </c>
      <c r="T278" s="281"/>
      <c r="U278" s="280">
        <v>200000</v>
      </c>
      <c r="V278" s="280">
        <v>878</v>
      </c>
      <c r="W278" s="280">
        <v>550</v>
      </c>
      <c r="X278" s="280"/>
      <c r="Y278" s="113" t="s">
        <v>2669</v>
      </c>
      <c r="Z278" s="113" t="s">
        <v>48</v>
      </c>
      <c r="AA278" s="275">
        <v>44019</v>
      </c>
      <c r="AB278" s="113"/>
      <c r="AC278" s="113"/>
      <c r="AD278" s="113"/>
      <c r="AE278" s="133"/>
      <c r="AG278" s="133"/>
      <c r="AH278" s="133"/>
      <c r="AI278" s="132">
        <f t="shared" si="87"/>
        <v>435218</v>
      </c>
      <c r="AJ278" s="132">
        <f t="shared" si="88"/>
        <v>435218</v>
      </c>
      <c r="AK278" s="133">
        <f t="shared" si="89"/>
        <v>0</v>
      </c>
      <c r="AL278" s="132"/>
      <c r="AM278" s="133"/>
      <c r="AN278" s="246">
        <v>44841</v>
      </c>
      <c r="AO278" s="137"/>
      <c r="AP278" s="97"/>
      <c r="AQ278" s="97"/>
      <c r="AR278" s="97"/>
      <c r="AS278" s="97"/>
      <c r="AT278" s="97"/>
      <c r="AU278" s="97"/>
      <c r="AV278" s="97"/>
      <c r="AW278" s="97"/>
      <c r="AX278" s="97"/>
      <c r="AY278" s="97"/>
      <c r="AZ278" s="97"/>
      <c r="BA278" s="97"/>
      <c r="BB278" s="97"/>
      <c r="BC278" s="97"/>
      <c r="BD278" s="97"/>
      <c r="BE278" s="97"/>
    </row>
    <row r="279" s="115" customFormat="1" customHeight="1" spans="1:57">
      <c r="A279" s="115" t="s">
        <v>4340</v>
      </c>
      <c r="B279" s="111" t="s">
        <v>4341</v>
      </c>
      <c r="C279" s="554" t="s">
        <v>4342</v>
      </c>
      <c r="D279" s="121" t="s">
        <v>4343</v>
      </c>
      <c r="E279" s="266" t="s">
        <v>4344</v>
      </c>
      <c r="F279" s="267">
        <v>2</v>
      </c>
      <c r="G279" s="268">
        <v>230</v>
      </c>
      <c r="H279" s="268">
        <v>30.9</v>
      </c>
      <c r="I279" s="274" t="s">
        <v>2665</v>
      </c>
      <c r="J279" s="113" t="s">
        <v>4345</v>
      </c>
      <c r="K279" s="266">
        <v>28.83</v>
      </c>
      <c r="L279" s="266" t="s">
        <v>2711</v>
      </c>
      <c r="M279" s="275"/>
      <c r="N279" s="113" t="s">
        <v>66</v>
      </c>
      <c r="O279" s="113"/>
      <c r="P279" s="113"/>
      <c r="Q279" s="113">
        <v>29318.3142559834</v>
      </c>
      <c r="R279" s="113">
        <v>845247</v>
      </c>
      <c r="S279" s="280">
        <v>425247</v>
      </c>
      <c r="T279" s="281">
        <f t="shared" ref="T279:T292" si="90">R279-S279</f>
        <v>420000</v>
      </c>
      <c r="U279" s="280"/>
      <c r="V279" s="280"/>
      <c r="W279" s="280"/>
      <c r="X279" s="280"/>
      <c r="Y279" s="113"/>
      <c r="Z279" s="113"/>
      <c r="AA279" s="275"/>
      <c r="AB279" s="113"/>
      <c r="AC279" s="113"/>
      <c r="AD279" s="113"/>
      <c r="AE279" s="133"/>
      <c r="AF279" s="115" t="s">
        <v>237</v>
      </c>
      <c r="AG279" s="133"/>
      <c r="AH279" s="133"/>
      <c r="AI279" s="132">
        <f t="shared" si="87"/>
        <v>425247</v>
      </c>
      <c r="AJ279" s="132">
        <f t="shared" si="88"/>
        <v>425247</v>
      </c>
      <c r="AK279" s="133">
        <f t="shared" si="89"/>
        <v>0</v>
      </c>
      <c r="AL279" s="132"/>
      <c r="AM279" s="133"/>
      <c r="AN279" s="246">
        <v>44841</v>
      </c>
      <c r="AO279" s="137"/>
      <c r="AP279" s="97"/>
      <c r="AQ279" s="97"/>
      <c r="AR279" s="97"/>
      <c r="AS279" s="97"/>
      <c r="AT279" s="97"/>
      <c r="AU279" s="97"/>
      <c r="AV279" s="97"/>
      <c r="AW279" s="97"/>
      <c r="AX279" s="97"/>
      <c r="AY279" s="97"/>
      <c r="AZ279" s="97"/>
      <c r="BA279" s="97"/>
      <c r="BB279" s="97"/>
      <c r="BC279" s="97"/>
      <c r="BD279" s="97"/>
      <c r="BE279" s="97"/>
    </row>
    <row r="280" s="115" customFormat="1" customHeight="1" spans="1:57">
      <c r="A280" s="115" t="s">
        <v>4346</v>
      </c>
      <c r="B280" s="111" t="s">
        <v>4347</v>
      </c>
      <c r="C280" s="111" t="s">
        <v>4348</v>
      </c>
      <c r="D280" s="121" t="s">
        <v>4349</v>
      </c>
      <c r="E280" s="266">
        <v>15037158910</v>
      </c>
      <c r="F280" s="267">
        <v>3</v>
      </c>
      <c r="G280" s="268">
        <v>3940</v>
      </c>
      <c r="H280" s="268">
        <v>16.1</v>
      </c>
      <c r="I280" s="274" t="s">
        <v>2665</v>
      </c>
      <c r="J280" s="113" t="s">
        <v>4350</v>
      </c>
      <c r="K280" s="266">
        <v>31.8</v>
      </c>
      <c r="L280" s="266" t="s">
        <v>2711</v>
      </c>
      <c r="M280" s="275" t="s">
        <v>2941</v>
      </c>
      <c r="N280" s="113" t="s">
        <v>56</v>
      </c>
      <c r="O280" s="113"/>
      <c r="P280" s="113"/>
      <c r="Q280" s="113">
        <v>23240.1257861635</v>
      </c>
      <c r="R280" s="113">
        <v>374166</v>
      </c>
      <c r="S280" s="280">
        <v>374166</v>
      </c>
      <c r="T280" s="281">
        <f t="shared" si="90"/>
        <v>0</v>
      </c>
      <c r="U280" s="280"/>
      <c r="V280" s="280">
        <v>1046</v>
      </c>
      <c r="W280" s="280">
        <v>550</v>
      </c>
      <c r="X280" s="280">
        <v>3274</v>
      </c>
      <c r="Y280" s="113" t="s">
        <v>2669</v>
      </c>
      <c r="Z280" s="113"/>
      <c r="AA280" s="275"/>
      <c r="AB280" s="113"/>
      <c r="AC280" s="113"/>
      <c r="AD280" s="113"/>
      <c r="AE280" s="133"/>
      <c r="AG280" s="133"/>
      <c r="AH280" s="133"/>
      <c r="AI280" s="132">
        <f t="shared" si="87"/>
        <v>379036</v>
      </c>
      <c r="AJ280" s="132">
        <f t="shared" si="88"/>
        <v>379036</v>
      </c>
      <c r="AK280" s="133">
        <f t="shared" si="89"/>
        <v>0</v>
      </c>
      <c r="AL280" s="132"/>
      <c r="AM280" s="133"/>
      <c r="AN280" s="246">
        <v>44841</v>
      </c>
      <c r="AO280" s="137"/>
      <c r="AP280" s="97"/>
      <c r="AQ280" s="97"/>
      <c r="AR280" s="97"/>
      <c r="AS280" s="97"/>
      <c r="AT280" s="97"/>
      <c r="AU280" s="97"/>
      <c r="AV280" s="97"/>
      <c r="AW280" s="97"/>
      <c r="AX280" s="97"/>
      <c r="AY280" s="97"/>
      <c r="AZ280" s="97"/>
      <c r="BA280" s="97"/>
      <c r="BB280" s="97"/>
      <c r="BC280" s="97"/>
      <c r="BD280" s="97"/>
      <c r="BE280" s="97"/>
    </row>
    <row r="281" s="115" customFormat="1" customHeight="1" spans="1:57">
      <c r="A281" s="115" t="s">
        <v>4351</v>
      </c>
      <c r="B281" s="111" t="s">
        <v>4352</v>
      </c>
      <c r="C281" s="554" t="s">
        <v>4353</v>
      </c>
      <c r="D281" s="121" t="s">
        <v>4354</v>
      </c>
      <c r="E281" s="266">
        <v>18046587715</v>
      </c>
      <c r="F281" s="267">
        <v>4</v>
      </c>
      <c r="G281" s="268">
        <v>4478</v>
      </c>
      <c r="H281" s="268">
        <v>16.09</v>
      </c>
      <c r="I281" s="274" t="s">
        <v>2657</v>
      </c>
      <c r="J281" s="113" t="s">
        <v>4355</v>
      </c>
      <c r="K281" s="266">
        <v>13.43</v>
      </c>
      <c r="L281" s="266" t="s">
        <v>4356</v>
      </c>
      <c r="M281" s="275" t="s">
        <v>4356</v>
      </c>
      <c r="N281" s="113" t="s">
        <v>66</v>
      </c>
      <c r="O281" s="113"/>
      <c r="P281" s="113"/>
      <c r="Q281" s="113">
        <v>27445.87</v>
      </c>
      <c r="R281" s="113">
        <v>368598</v>
      </c>
      <c r="S281" s="280">
        <v>188598</v>
      </c>
      <c r="T281" s="281">
        <f t="shared" si="90"/>
        <v>180000</v>
      </c>
      <c r="U281" s="280"/>
      <c r="V281" s="280"/>
      <c r="W281" s="280"/>
      <c r="X281" s="280"/>
      <c r="Y281" s="113"/>
      <c r="Z281" s="113"/>
      <c r="AA281" s="275"/>
      <c r="AB281" s="113" t="s">
        <v>4357</v>
      </c>
      <c r="AC281" s="113"/>
      <c r="AD281" s="113"/>
      <c r="AE281" s="133"/>
      <c r="AF281" s="115" t="s">
        <v>237</v>
      </c>
      <c r="AG281" s="133"/>
      <c r="AH281" s="133"/>
      <c r="AI281" s="132">
        <f t="shared" si="87"/>
        <v>188598</v>
      </c>
      <c r="AJ281" s="132">
        <f t="shared" si="88"/>
        <v>188598</v>
      </c>
      <c r="AK281" s="133">
        <f t="shared" si="89"/>
        <v>0</v>
      </c>
      <c r="AL281" s="132"/>
      <c r="AM281" s="133"/>
      <c r="AN281" s="246">
        <v>44841</v>
      </c>
      <c r="AO281" s="137"/>
      <c r="AP281" s="97"/>
      <c r="AQ281" s="97"/>
      <c r="AR281" s="97"/>
      <c r="AS281" s="97"/>
      <c r="AT281" s="97"/>
      <c r="AU281" s="97"/>
      <c r="AV281" s="97"/>
      <c r="AW281" s="97"/>
      <c r="AX281" s="97"/>
      <c r="AY281" s="97"/>
      <c r="AZ281" s="97"/>
      <c r="BA281" s="97"/>
      <c r="BB281" s="97"/>
      <c r="BC281" s="97"/>
      <c r="BD281" s="97"/>
      <c r="BE281" s="97"/>
    </row>
    <row r="282" s="115" customFormat="1" customHeight="1" spans="1:57">
      <c r="A282" s="115" t="s">
        <v>4358</v>
      </c>
      <c r="B282" s="111" t="s">
        <v>4359</v>
      </c>
      <c r="C282" s="111" t="s">
        <v>4360</v>
      </c>
      <c r="D282" s="121" t="s">
        <v>4361</v>
      </c>
      <c r="E282" s="266">
        <v>13903868948</v>
      </c>
      <c r="F282" s="267">
        <v>4</v>
      </c>
      <c r="G282" s="268">
        <v>4394</v>
      </c>
      <c r="H282" s="268">
        <v>11.22</v>
      </c>
      <c r="I282" s="274" t="s">
        <v>2657</v>
      </c>
      <c r="J282" s="113" t="s">
        <v>4362</v>
      </c>
      <c r="K282" s="266">
        <v>10.22</v>
      </c>
      <c r="L282" s="266" t="s">
        <v>4363</v>
      </c>
      <c r="M282" s="275" t="s">
        <v>4363</v>
      </c>
      <c r="N282" s="113" t="s">
        <v>56</v>
      </c>
      <c r="O282" s="113"/>
      <c r="P282" s="113"/>
      <c r="Q282" s="113">
        <v>26418.79</v>
      </c>
      <c r="R282" s="113">
        <v>270000</v>
      </c>
      <c r="S282" s="280">
        <v>270000</v>
      </c>
      <c r="T282" s="281">
        <f t="shared" si="90"/>
        <v>0</v>
      </c>
      <c r="U282" s="280"/>
      <c r="V282" s="280"/>
      <c r="W282" s="280"/>
      <c r="X282" s="280"/>
      <c r="Y282" s="113"/>
      <c r="Z282" s="113"/>
      <c r="AA282" s="275"/>
      <c r="AB282" s="113"/>
      <c r="AC282" s="113"/>
      <c r="AD282" s="113"/>
      <c r="AE282" s="133"/>
      <c r="AG282" s="133"/>
      <c r="AH282" s="133"/>
      <c r="AI282" s="132">
        <f t="shared" si="87"/>
        <v>270000</v>
      </c>
      <c r="AJ282" s="132">
        <f t="shared" si="88"/>
        <v>270000</v>
      </c>
      <c r="AK282" s="133">
        <f t="shared" si="89"/>
        <v>0</v>
      </c>
      <c r="AL282" s="132"/>
      <c r="AM282" s="133"/>
      <c r="AN282" s="246">
        <v>44841</v>
      </c>
      <c r="AO282" s="137"/>
      <c r="AP282" s="97"/>
      <c r="AQ282" s="97"/>
      <c r="AR282" s="97"/>
      <c r="AS282" s="97"/>
      <c r="AT282" s="97"/>
      <c r="AU282" s="97"/>
      <c r="AV282" s="97"/>
      <c r="AW282" s="97"/>
      <c r="AX282" s="97"/>
      <c r="AY282" s="97"/>
      <c r="AZ282" s="97"/>
      <c r="BA282" s="97"/>
      <c r="BB282" s="97"/>
      <c r="BC282" s="97"/>
      <c r="BD282" s="97"/>
      <c r="BE282" s="97"/>
    </row>
    <row r="283" s="115" customFormat="1" customHeight="1" spans="1:57">
      <c r="A283" s="115" t="s">
        <v>4364</v>
      </c>
      <c r="B283" s="111" t="s">
        <v>4365</v>
      </c>
      <c r="C283" s="554" t="s">
        <v>4366</v>
      </c>
      <c r="D283" s="121" t="s">
        <v>4367</v>
      </c>
      <c r="E283" s="266">
        <v>17335784888</v>
      </c>
      <c r="F283" s="267">
        <v>1</v>
      </c>
      <c r="G283" s="268">
        <v>1662</v>
      </c>
      <c r="H283" s="268">
        <v>11.89</v>
      </c>
      <c r="I283" s="274" t="s">
        <v>2657</v>
      </c>
      <c r="J283" s="113" t="s">
        <v>4368</v>
      </c>
      <c r="K283" s="266">
        <v>14.72</v>
      </c>
      <c r="L283" s="266" t="s">
        <v>4369</v>
      </c>
      <c r="M283" s="275" t="s">
        <v>3048</v>
      </c>
      <c r="N283" s="113" t="s">
        <v>66</v>
      </c>
      <c r="O283" s="113"/>
      <c r="P283" s="113"/>
      <c r="Q283" s="113">
        <v>48753.19</v>
      </c>
      <c r="R283" s="113">
        <v>717647</v>
      </c>
      <c r="S283" s="280">
        <v>367647</v>
      </c>
      <c r="T283" s="281">
        <f t="shared" si="90"/>
        <v>350000</v>
      </c>
      <c r="U283" s="280"/>
      <c r="V283" s="280"/>
      <c r="W283" s="280"/>
      <c r="X283" s="280"/>
      <c r="Y283" s="113"/>
      <c r="Z283" s="113"/>
      <c r="AA283" s="275"/>
      <c r="AB283" s="113"/>
      <c r="AC283" s="113"/>
      <c r="AD283" s="113"/>
      <c r="AE283" s="133"/>
      <c r="AF283" s="115" t="s">
        <v>2771</v>
      </c>
      <c r="AG283" s="133"/>
      <c r="AH283" s="133"/>
      <c r="AI283" s="132">
        <f t="shared" ref="AI283:AI294" si="91">S283+U283+V283+W283+X283+AC283+AD283+AE283</f>
        <v>367647</v>
      </c>
      <c r="AJ283" s="132">
        <f t="shared" ref="AJ283:AJ294" si="92">S283+U283+V283+W283+X283</f>
        <v>367647</v>
      </c>
      <c r="AK283" s="133">
        <f t="shared" ref="AK283:AK294" si="93">AI283-AJ283</f>
        <v>0</v>
      </c>
      <c r="AL283" s="132"/>
      <c r="AM283" s="133"/>
      <c r="AN283" s="246">
        <v>44841</v>
      </c>
      <c r="AO283" s="137"/>
      <c r="AP283" s="97"/>
      <c r="AQ283" s="97"/>
      <c r="AR283" s="97"/>
      <c r="AS283" s="97"/>
      <c r="AT283" s="97"/>
      <c r="AU283" s="97"/>
      <c r="AV283" s="97"/>
      <c r="AW283" s="97"/>
      <c r="AX283" s="97"/>
      <c r="AY283" s="97"/>
      <c r="AZ283" s="97"/>
      <c r="BA283" s="97"/>
      <c r="BB283" s="97"/>
      <c r="BC283" s="97"/>
      <c r="BD283" s="97"/>
      <c r="BE283" s="97"/>
    </row>
    <row r="284" s="115" customFormat="1" customHeight="1" spans="1:57">
      <c r="A284" s="115" t="s">
        <v>4370</v>
      </c>
      <c r="B284" s="111" t="s">
        <v>4371</v>
      </c>
      <c r="C284" s="111" t="s">
        <v>4372</v>
      </c>
      <c r="D284" s="121" t="s">
        <v>4373</v>
      </c>
      <c r="E284" s="266" t="s">
        <v>4374</v>
      </c>
      <c r="F284" s="267">
        <v>3</v>
      </c>
      <c r="G284" s="268">
        <v>3243</v>
      </c>
      <c r="H284" s="268">
        <v>21.61</v>
      </c>
      <c r="I284" s="274" t="s">
        <v>2665</v>
      </c>
      <c r="J284" s="113" t="s">
        <v>4375</v>
      </c>
      <c r="K284" s="266">
        <v>23.4</v>
      </c>
      <c r="L284" s="266" t="s">
        <v>4376</v>
      </c>
      <c r="M284" s="275" t="s">
        <v>4256</v>
      </c>
      <c r="N284" s="113" t="s">
        <v>66</v>
      </c>
      <c r="O284" s="113"/>
      <c r="P284" s="113"/>
      <c r="Q284" s="113">
        <v>27076.92</v>
      </c>
      <c r="R284" s="113">
        <v>633600</v>
      </c>
      <c r="S284" s="280">
        <v>323600</v>
      </c>
      <c r="T284" s="281">
        <f t="shared" si="90"/>
        <v>310000</v>
      </c>
      <c r="U284" s="280"/>
      <c r="V284" s="280"/>
      <c r="W284" s="280"/>
      <c r="X284" s="280"/>
      <c r="Y284" s="113"/>
      <c r="Z284" s="113"/>
      <c r="AA284" s="275"/>
      <c r="AB284" s="113"/>
      <c r="AC284" s="113"/>
      <c r="AD284" s="113"/>
      <c r="AE284" s="133"/>
      <c r="AF284" s="115" t="s">
        <v>237</v>
      </c>
      <c r="AG284" s="133"/>
      <c r="AH284" s="133"/>
      <c r="AI284" s="132">
        <f t="shared" si="91"/>
        <v>323600</v>
      </c>
      <c r="AJ284" s="132">
        <f t="shared" si="92"/>
        <v>323600</v>
      </c>
      <c r="AK284" s="133">
        <f t="shared" si="93"/>
        <v>0</v>
      </c>
      <c r="AL284" s="132"/>
      <c r="AM284" s="133"/>
      <c r="AN284" s="246">
        <v>44841</v>
      </c>
      <c r="AO284" s="137"/>
      <c r="AP284" s="97"/>
      <c r="AQ284" s="97"/>
      <c r="AR284" s="97"/>
      <c r="AS284" s="97"/>
      <c r="AT284" s="97"/>
      <c r="AU284" s="97"/>
      <c r="AV284" s="97"/>
      <c r="AW284" s="97"/>
      <c r="AX284" s="97"/>
      <c r="AY284" s="97"/>
      <c r="AZ284" s="97"/>
      <c r="BA284" s="97"/>
      <c r="BB284" s="97"/>
      <c r="BC284" s="97"/>
      <c r="BD284" s="97"/>
      <c r="BE284" s="97"/>
    </row>
    <row r="285" s="115" customFormat="1" customHeight="1" spans="1:57">
      <c r="A285" s="115" t="s">
        <v>4377</v>
      </c>
      <c r="B285" s="111" t="s">
        <v>4378</v>
      </c>
      <c r="C285" s="111" t="s">
        <v>4379</v>
      </c>
      <c r="D285" s="121" t="s">
        <v>4380</v>
      </c>
      <c r="E285" s="266">
        <v>15690878352</v>
      </c>
      <c r="F285" s="267">
        <v>3</v>
      </c>
      <c r="G285" s="268">
        <v>3949</v>
      </c>
      <c r="H285" s="268">
        <v>13.86</v>
      </c>
      <c r="I285" s="274" t="s">
        <v>2657</v>
      </c>
      <c r="J285" s="113" t="s">
        <v>4381</v>
      </c>
      <c r="K285" s="266">
        <v>13.22</v>
      </c>
      <c r="L285" s="266" t="s">
        <v>4382</v>
      </c>
      <c r="M285" s="275" t="s">
        <v>4383</v>
      </c>
      <c r="N285" s="113" t="s">
        <v>56</v>
      </c>
      <c r="O285" s="113"/>
      <c r="P285" s="113"/>
      <c r="Q285" s="113">
        <v>32233.89</v>
      </c>
      <c r="R285" s="113">
        <v>426132</v>
      </c>
      <c r="S285" s="280">
        <v>426132</v>
      </c>
      <c r="T285" s="281">
        <f t="shared" si="90"/>
        <v>0</v>
      </c>
      <c r="U285" s="280"/>
      <c r="V285" s="280"/>
      <c r="W285" s="280"/>
      <c r="X285" s="280"/>
      <c r="Y285" s="113"/>
      <c r="Z285" s="113"/>
      <c r="AA285" s="275"/>
      <c r="AB285" s="113"/>
      <c r="AC285" s="113"/>
      <c r="AD285" s="113"/>
      <c r="AE285" s="133"/>
      <c r="AF285" s="115" t="s">
        <v>237</v>
      </c>
      <c r="AG285" s="133"/>
      <c r="AH285" s="133"/>
      <c r="AI285" s="132">
        <f t="shared" si="91"/>
        <v>426132</v>
      </c>
      <c r="AJ285" s="132">
        <f t="shared" si="92"/>
        <v>426132</v>
      </c>
      <c r="AK285" s="133">
        <f t="shared" si="93"/>
        <v>0</v>
      </c>
      <c r="AL285" s="132"/>
      <c r="AM285" s="133"/>
      <c r="AN285" s="246">
        <v>44841</v>
      </c>
      <c r="AO285" s="137"/>
      <c r="AP285" s="97"/>
      <c r="AQ285" s="97"/>
      <c r="AR285" s="97"/>
      <c r="AS285" s="97"/>
      <c r="AT285" s="97"/>
      <c r="AU285" s="97"/>
      <c r="AV285" s="97"/>
      <c r="AW285" s="97"/>
      <c r="AX285" s="97"/>
      <c r="AY285" s="97"/>
      <c r="AZ285" s="97"/>
      <c r="BA285" s="97"/>
      <c r="BB285" s="97"/>
      <c r="BC285" s="97"/>
      <c r="BD285" s="97"/>
      <c r="BE285" s="97"/>
    </row>
    <row r="286" s="115" customFormat="1" customHeight="1" spans="1:57">
      <c r="A286" s="115" t="s">
        <v>4384</v>
      </c>
      <c r="B286" s="111" t="s">
        <v>4385</v>
      </c>
      <c r="C286" s="111" t="s">
        <v>4386</v>
      </c>
      <c r="D286" s="121" t="s">
        <v>4387</v>
      </c>
      <c r="E286" s="266">
        <v>18530821905</v>
      </c>
      <c r="F286" s="267">
        <v>3</v>
      </c>
      <c r="G286" s="268">
        <v>3838</v>
      </c>
      <c r="H286" s="268">
        <v>9.89</v>
      </c>
      <c r="I286" s="274" t="s">
        <v>2657</v>
      </c>
      <c r="J286" s="113" t="s">
        <v>4388</v>
      </c>
      <c r="K286" s="266">
        <v>8.91</v>
      </c>
      <c r="L286" s="266" t="s">
        <v>4389</v>
      </c>
      <c r="M286" s="275" t="s">
        <v>3432</v>
      </c>
      <c r="N286" s="113" t="s">
        <v>66</v>
      </c>
      <c r="O286" s="113"/>
      <c r="P286" s="113"/>
      <c r="Q286" s="113">
        <v>33424.02</v>
      </c>
      <c r="R286" s="113">
        <v>297808</v>
      </c>
      <c r="S286" s="280">
        <v>157808</v>
      </c>
      <c r="T286" s="281">
        <f t="shared" si="90"/>
        <v>140000</v>
      </c>
      <c r="U286" s="280"/>
      <c r="V286" s="280"/>
      <c r="W286" s="280"/>
      <c r="X286" s="280"/>
      <c r="Y286" s="113"/>
      <c r="Z286" s="113"/>
      <c r="AA286" s="275"/>
      <c r="AB286" s="113"/>
      <c r="AC286" s="113"/>
      <c r="AD286" s="113"/>
      <c r="AE286" s="133"/>
      <c r="AG286" s="133"/>
      <c r="AH286" s="133"/>
      <c r="AI286" s="132">
        <f t="shared" si="91"/>
        <v>157808</v>
      </c>
      <c r="AJ286" s="132">
        <f t="shared" si="92"/>
        <v>157808</v>
      </c>
      <c r="AK286" s="133">
        <f t="shared" si="93"/>
        <v>0</v>
      </c>
      <c r="AL286" s="132"/>
      <c r="AM286" s="133"/>
      <c r="AN286" s="246">
        <v>44841</v>
      </c>
      <c r="AO286" s="137"/>
      <c r="AP286" s="97"/>
      <c r="AQ286" s="97"/>
      <c r="AR286" s="97"/>
      <c r="AS286" s="97"/>
      <c r="AT286" s="97"/>
      <c r="AU286" s="97"/>
      <c r="AV286" s="97"/>
      <c r="AW286" s="97"/>
      <c r="AX286" s="97"/>
      <c r="AY286" s="97"/>
      <c r="AZ286" s="97"/>
      <c r="BA286" s="97"/>
      <c r="BB286" s="97"/>
      <c r="BC286" s="97"/>
      <c r="BD286" s="97"/>
      <c r="BE286" s="97"/>
    </row>
    <row r="287" s="115" customFormat="1" customHeight="1" spans="1:57">
      <c r="A287" s="115" t="s">
        <v>4390</v>
      </c>
      <c r="B287" s="111" t="s">
        <v>4391</v>
      </c>
      <c r="C287" s="111" t="s">
        <v>4392</v>
      </c>
      <c r="D287" s="121" t="s">
        <v>4393</v>
      </c>
      <c r="E287" s="266">
        <v>13837109782</v>
      </c>
      <c r="F287" s="267">
        <v>3</v>
      </c>
      <c r="G287" s="268">
        <v>3872</v>
      </c>
      <c r="H287" s="268">
        <v>11.62</v>
      </c>
      <c r="I287" s="274" t="s">
        <v>2657</v>
      </c>
      <c r="J287" s="113" t="s">
        <v>4394</v>
      </c>
      <c r="K287" s="266">
        <v>9.86</v>
      </c>
      <c r="L287" s="266" t="s">
        <v>4238</v>
      </c>
      <c r="M287" s="275" t="s">
        <v>3806</v>
      </c>
      <c r="N287" s="113" t="s">
        <v>56</v>
      </c>
      <c r="O287" s="113"/>
      <c r="P287" s="113"/>
      <c r="Q287" s="113">
        <v>30662.22</v>
      </c>
      <c r="R287" s="113">
        <v>356295</v>
      </c>
      <c r="S287" s="280">
        <v>356295</v>
      </c>
      <c r="T287" s="281">
        <f t="shared" si="90"/>
        <v>0</v>
      </c>
      <c r="U287" s="280"/>
      <c r="V287" s="280">
        <v>755</v>
      </c>
      <c r="W287" s="280">
        <v>550</v>
      </c>
      <c r="X287" s="280"/>
      <c r="Y287" s="113" t="s">
        <v>2669</v>
      </c>
      <c r="Z287" s="113"/>
      <c r="AA287" s="275"/>
      <c r="AB287" s="113"/>
      <c r="AC287" s="113"/>
      <c r="AD287" s="113"/>
      <c r="AE287" s="133"/>
      <c r="AF287" s="115" t="s">
        <v>123</v>
      </c>
      <c r="AG287" s="133"/>
      <c r="AH287" s="133"/>
      <c r="AI287" s="132">
        <f t="shared" si="91"/>
        <v>357600</v>
      </c>
      <c r="AJ287" s="132">
        <f t="shared" si="92"/>
        <v>357600</v>
      </c>
      <c r="AK287" s="133">
        <f t="shared" si="93"/>
        <v>0</v>
      </c>
      <c r="AL287" s="132"/>
      <c r="AM287" s="133"/>
      <c r="AN287" s="246">
        <v>44841</v>
      </c>
      <c r="AO287" s="137"/>
      <c r="AP287" s="97"/>
      <c r="AQ287" s="97"/>
      <c r="AR287" s="97"/>
      <c r="AS287" s="97"/>
      <c r="AT287" s="97"/>
      <c r="AU287" s="97"/>
      <c r="AV287" s="97"/>
      <c r="AW287" s="97"/>
      <c r="AX287" s="97"/>
      <c r="AY287" s="97"/>
      <c r="AZ287" s="97"/>
      <c r="BA287" s="97"/>
      <c r="BB287" s="97"/>
      <c r="BC287" s="97"/>
      <c r="BD287" s="97"/>
      <c r="BE287" s="97"/>
    </row>
    <row r="288" s="115" customFormat="1" customHeight="1" spans="1:57">
      <c r="A288" s="115" t="s">
        <v>4395</v>
      </c>
      <c r="B288" s="111" t="s">
        <v>4396</v>
      </c>
      <c r="C288" s="111" t="s">
        <v>4397</v>
      </c>
      <c r="D288" s="121" t="s">
        <v>4398</v>
      </c>
      <c r="E288" s="266">
        <v>18037109851</v>
      </c>
      <c r="F288" s="267">
        <v>3</v>
      </c>
      <c r="G288" s="268">
        <v>3937</v>
      </c>
      <c r="H288" s="268">
        <v>10.48</v>
      </c>
      <c r="I288" s="274" t="s">
        <v>2657</v>
      </c>
      <c r="J288" s="113" t="s">
        <v>4399</v>
      </c>
      <c r="K288" s="266">
        <v>9.59</v>
      </c>
      <c r="L288" s="266" t="s">
        <v>4238</v>
      </c>
      <c r="M288" s="275" t="s">
        <v>3806</v>
      </c>
      <c r="N288" s="113" t="s">
        <v>56</v>
      </c>
      <c r="O288" s="113"/>
      <c r="P288" s="113"/>
      <c r="Q288" s="113">
        <v>31297.9</v>
      </c>
      <c r="R288" s="113">
        <v>328002</v>
      </c>
      <c r="S288" s="280">
        <v>328002</v>
      </c>
      <c r="T288" s="281">
        <f t="shared" si="90"/>
        <v>0</v>
      </c>
      <c r="U288" s="280"/>
      <c r="V288" s="280">
        <v>681</v>
      </c>
      <c r="W288" s="280">
        <v>550</v>
      </c>
      <c r="X288" s="280"/>
      <c r="Y288" s="113" t="s">
        <v>2669</v>
      </c>
      <c r="Z288" s="113"/>
      <c r="AA288" s="275"/>
      <c r="AB288" s="113"/>
      <c r="AC288" s="113"/>
      <c r="AD288" s="113"/>
      <c r="AE288" s="133"/>
      <c r="AG288" s="133"/>
      <c r="AH288" s="133"/>
      <c r="AI288" s="132">
        <f t="shared" si="91"/>
        <v>329233</v>
      </c>
      <c r="AJ288" s="132">
        <f t="shared" si="92"/>
        <v>329233</v>
      </c>
      <c r="AK288" s="133">
        <f t="shared" si="93"/>
        <v>0</v>
      </c>
      <c r="AL288" s="132"/>
      <c r="AM288" s="133"/>
      <c r="AN288" s="246">
        <v>44841</v>
      </c>
      <c r="AO288" s="137"/>
      <c r="AP288" s="97"/>
      <c r="AQ288" s="97"/>
      <c r="AR288" s="97"/>
      <c r="AS288" s="97"/>
      <c r="AT288" s="97"/>
      <c r="AU288" s="97"/>
      <c r="AV288" s="97"/>
      <c r="AW288" s="97"/>
      <c r="AX288" s="97"/>
      <c r="AY288" s="97"/>
      <c r="AZ288" s="97"/>
      <c r="BA288" s="97"/>
      <c r="BB288" s="97"/>
      <c r="BC288" s="97"/>
      <c r="BD288" s="97"/>
      <c r="BE288" s="97"/>
    </row>
    <row r="289" s="115" customFormat="1" customHeight="1" spans="1:57">
      <c r="A289" s="115" t="s">
        <v>4400</v>
      </c>
      <c r="B289" s="111" t="s">
        <v>4401</v>
      </c>
      <c r="C289" s="554" t="s">
        <v>4402</v>
      </c>
      <c r="D289" s="121" t="s">
        <v>4403</v>
      </c>
      <c r="E289" s="266">
        <v>13526877124</v>
      </c>
      <c r="F289" s="267">
        <v>4</v>
      </c>
      <c r="G289" s="268">
        <v>4531</v>
      </c>
      <c r="H289" s="268">
        <v>16.22</v>
      </c>
      <c r="I289" s="274" t="s">
        <v>2657</v>
      </c>
      <c r="J289" s="113" t="s">
        <v>4404</v>
      </c>
      <c r="K289" s="266">
        <v>15.32</v>
      </c>
      <c r="L289" s="266" t="s">
        <v>3408</v>
      </c>
      <c r="M289" s="275" t="s">
        <v>2928</v>
      </c>
      <c r="N289" s="113" t="s">
        <v>56</v>
      </c>
      <c r="O289" s="113"/>
      <c r="P289" s="113"/>
      <c r="Q289" s="113">
        <v>25771.64</v>
      </c>
      <c r="R289" s="113">
        <v>418016</v>
      </c>
      <c r="S289" s="280">
        <v>418016</v>
      </c>
      <c r="T289" s="281">
        <f t="shared" si="90"/>
        <v>0</v>
      </c>
      <c r="U289" s="280"/>
      <c r="V289" s="280">
        <v>1054</v>
      </c>
      <c r="W289" s="280">
        <v>550</v>
      </c>
      <c r="X289" s="280"/>
      <c r="Y289" s="113" t="s">
        <v>2669</v>
      </c>
      <c r="Z289" s="113" t="s">
        <v>48</v>
      </c>
      <c r="AA289" s="275">
        <v>44054</v>
      </c>
      <c r="AB289" s="113"/>
      <c r="AC289" s="113"/>
      <c r="AD289" s="113"/>
      <c r="AE289" s="133"/>
      <c r="AG289" s="133"/>
      <c r="AH289" s="133"/>
      <c r="AI289" s="132">
        <f t="shared" si="91"/>
        <v>419620</v>
      </c>
      <c r="AJ289" s="132">
        <f t="shared" si="92"/>
        <v>419620</v>
      </c>
      <c r="AK289" s="133">
        <f t="shared" si="93"/>
        <v>0</v>
      </c>
      <c r="AL289" s="132"/>
      <c r="AM289" s="133"/>
      <c r="AN289" s="246">
        <v>44841</v>
      </c>
      <c r="AO289" s="137"/>
      <c r="AP289" s="97"/>
      <c r="AQ289" s="97"/>
      <c r="AR289" s="97"/>
      <c r="AS289" s="97"/>
      <c r="AT289" s="97"/>
      <c r="AU289" s="97"/>
      <c r="AV289" s="97"/>
      <c r="AW289" s="97"/>
      <c r="AX289" s="97"/>
      <c r="AY289" s="97"/>
      <c r="AZ289" s="97"/>
      <c r="BA289" s="97"/>
      <c r="BB289" s="97"/>
      <c r="BC289" s="97"/>
      <c r="BD289" s="97"/>
      <c r="BE289" s="97"/>
    </row>
    <row r="290" s="115" customFormat="1" customHeight="1" spans="1:57">
      <c r="A290" s="115" t="s">
        <v>4405</v>
      </c>
      <c r="B290" s="111" t="s">
        <v>4406</v>
      </c>
      <c r="C290" s="111" t="s">
        <v>4407</v>
      </c>
      <c r="D290" s="121" t="s">
        <v>4408</v>
      </c>
      <c r="E290" s="266">
        <v>15893709829</v>
      </c>
      <c r="F290" s="267">
        <v>3</v>
      </c>
      <c r="G290" s="268">
        <v>3626</v>
      </c>
      <c r="H290" s="268">
        <v>24.67</v>
      </c>
      <c r="I290" s="274" t="s">
        <v>2657</v>
      </c>
      <c r="J290" s="113" t="s">
        <v>4409</v>
      </c>
      <c r="K290" s="266">
        <v>20.95</v>
      </c>
      <c r="L290" s="266" t="s">
        <v>3425</v>
      </c>
      <c r="M290" s="275" t="s">
        <v>4410</v>
      </c>
      <c r="N290" s="113" t="s">
        <v>66</v>
      </c>
      <c r="O290" s="113"/>
      <c r="P290" s="113"/>
      <c r="Q290" s="113">
        <v>32682.39</v>
      </c>
      <c r="R290" s="113">
        <v>684696</v>
      </c>
      <c r="S290" s="280">
        <v>344696</v>
      </c>
      <c r="T290" s="281">
        <f t="shared" si="90"/>
        <v>340000</v>
      </c>
      <c r="U290" s="280"/>
      <c r="V290" s="280"/>
      <c r="W290" s="280"/>
      <c r="X290" s="280"/>
      <c r="Y290" s="113"/>
      <c r="Z290" s="113"/>
      <c r="AA290" s="275"/>
      <c r="AB290" s="113" t="s">
        <v>4411</v>
      </c>
      <c r="AC290" s="113"/>
      <c r="AD290" s="113"/>
      <c r="AE290" s="133"/>
      <c r="AG290" s="133"/>
      <c r="AH290" s="133"/>
      <c r="AI290" s="132">
        <f t="shared" si="91"/>
        <v>344696</v>
      </c>
      <c r="AJ290" s="132">
        <f t="shared" si="92"/>
        <v>344696</v>
      </c>
      <c r="AK290" s="133">
        <f t="shared" si="93"/>
        <v>0</v>
      </c>
      <c r="AL290" s="132"/>
      <c r="AM290" s="133"/>
      <c r="AN290" s="246">
        <v>44841</v>
      </c>
      <c r="AO290" s="137"/>
      <c r="AP290" s="97"/>
      <c r="AQ290" s="97"/>
      <c r="AR290" s="97"/>
      <c r="AS290" s="97"/>
      <c r="AT290" s="97"/>
      <c r="AU290" s="97"/>
      <c r="AV290" s="97"/>
      <c r="AW290" s="97"/>
      <c r="AX290" s="97"/>
      <c r="AY290" s="97"/>
      <c r="AZ290" s="97"/>
      <c r="BA290" s="97"/>
      <c r="BB290" s="97"/>
      <c r="BC290" s="97"/>
      <c r="BD290" s="97"/>
      <c r="BE290" s="97"/>
    </row>
    <row r="291" s="115" customFormat="1" customHeight="1" spans="1:57">
      <c r="A291" s="115" t="s">
        <v>4412</v>
      </c>
      <c r="B291" s="111" t="s">
        <v>4413</v>
      </c>
      <c r="C291" s="111" t="s">
        <v>4414</v>
      </c>
      <c r="D291" s="121" t="s">
        <v>4415</v>
      </c>
      <c r="E291" s="266">
        <v>13838220044</v>
      </c>
      <c r="F291" s="267">
        <v>3</v>
      </c>
      <c r="G291" s="268">
        <v>3405</v>
      </c>
      <c r="H291" s="268">
        <v>14.73</v>
      </c>
      <c r="I291" s="274" t="s">
        <v>2657</v>
      </c>
      <c r="J291" s="113" t="s">
        <v>4416</v>
      </c>
      <c r="K291" s="266">
        <v>14.97</v>
      </c>
      <c r="L291" s="266" t="s">
        <v>3538</v>
      </c>
      <c r="M291" s="275" t="s">
        <v>4061</v>
      </c>
      <c r="N291" s="113" t="s">
        <v>56</v>
      </c>
      <c r="O291" s="113"/>
      <c r="P291" s="113"/>
      <c r="Q291" s="113">
        <v>31730.13</v>
      </c>
      <c r="R291" s="113">
        <v>467385</v>
      </c>
      <c r="S291" s="280">
        <v>467385</v>
      </c>
      <c r="T291" s="281">
        <f t="shared" si="90"/>
        <v>0</v>
      </c>
      <c r="U291" s="280"/>
      <c r="V291" s="280">
        <v>957</v>
      </c>
      <c r="W291" s="280">
        <v>560</v>
      </c>
      <c r="X291" s="280">
        <v>6098</v>
      </c>
      <c r="Y291" s="113" t="s">
        <v>2669</v>
      </c>
      <c r="Z291" s="113" t="s">
        <v>48</v>
      </c>
      <c r="AA291" s="275">
        <v>44077</v>
      </c>
      <c r="AB291" s="113"/>
      <c r="AC291" s="113"/>
      <c r="AD291" s="113"/>
      <c r="AE291" s="133"/>
      <c r="AG291" s="133"/>
      <c r="AH291" s="133"/>
      <c r="AI291" s="132">
        <f t="shared" si="91"/>
        <v>475000</v>
      </c>
      <c r="AJ291" s="132">
        <f t="shared" si="92"/>
        <v>475000</v>
      </c>
      <c r="AK291" s="133">
        <f t="shared" si="93"/>
        <v>0</v>
      </c>
      <c r="AL291" s="132"/>
      <c r="AM291" s="133"/>
      <c r="AN291" s="246">
        <v>44841</v>
      </c>
      <c r="AO291" s="137"/>
      <c r="AP291" s="97"/>
      <c r="AQ291" s="97"/>
      <c r="AR291" s="97"/>
      <c r="AS291" s="97"/>
      <c r="AT291" s="97"/>
      <c r="AU291" s="97"/>
      <c r="AV291" s="97"/>
      <c r="AW291" s="97"/>
      <c r="AX291" s="97"/>
      <c r="AY291" s="97"/>
      <c r="AZ291" s="97"/>
      <c r="BA291" s="97"/>
      <c r="BB291" s="97"/>
      <c r="BC291" s="97"/>
      <c r="BD291" s="97"/>
      <c r="BE291" s="97"/>
    </row>
    <row r="292" s="115" customFormat="1" customHeight="1" spans="1:57">
      <c r="A292" s="115" t="s">
        <v>4417</v>
      </c>
      <c r="B292" s="111" t="s">
        <v>4418</v>
      </c>
      <c r="C292" s="111" t="s">
        <v>4419</v>
      </c>
      <c r="D292" s="121" t="s">
        <v>4420</v>
      </c>
      <c r="E292" s="266">
        <v>13663012832</v>
      </c>
      <c r="F292" s="267">
        <v>3</v>
      </c>
      <c r="G292" s="268">
        <v>3747</v>
      </c>
      <c r="H292" s="268">
        <v>14.6</v>
      </c>
      <c r="I292" s="274" t="s">
        <v>2657</v>
      </c>
      <c r="J292" s="113" t="s">
        <v>4421</v>
      </c>
      <c r="K292" s="266">
        <v>14.11</v>
      </c>
      <c r="L292" s="266" t="s">
        <v>2762</v>
      </c>
      <c r="M292" s="275" t="s">
        <v>4422</v>
      </c>
      <c r="N292" s="113" t="s">
        <v>66</v>
      </c>
      <c r="O292" s="113"/>
      <c r="P292" s="113"/>
      <c r="Q292" s="113">
        <v>32527.92</v>
      </c>
      <c r="R292" s="113">
        <v>458969</v>
      </c>
      <c r="S292" s="280">
        <v>238969</v>
      </c>
      <c r="T292" s="281">
        <f t="shared" si="90"/>
        <v>220000</v>
      </c>
      <c r="U292" s="280"/>
      <c r="V292" s="280"/>
      <c r="W292" s="280"/>
      <c r="X292" s="280"/>
      <c r="Y292" s="113"/>
      <c r="Z292" s="113"/>
      <c r="AA292" s="275"/>
      <c r="AB292" s="113"/>
      <c r="AC292" s="113"/>
      <c r="AD292" s="113"/>
      <c r="AE292" s="133"/>
      <c r="AF292" s="115" t="s">
        <v>2771</v>
      </c>
      <c r="AG292" s="133"/>
      <c r="AH292" s="133"/>
      <c r="AI292" s="132">
        <f t="shared" si="91"/>
        <v>238969</v>
      </c>
      <c r="AJ292" s="132">
        <f t="shared" si="92"/>
        <v>238969</v>
      </c>
      <c r="AK292" s="133">
        <f t="shared" si="93"/>
        <v>0</v>
      </c>
      <c r="AL292" s="132"/>
      <c r="AM292" s="133"/>
      <c r="AN292" s="246">
        <v>44841</v>
      </c>
      <c r="AO292" s="137"/>
      <c r="AP292" s="97"/>
      <c r="AQ292" s="97"/>
      <c r="AR292" s="97"/>
      <c r="AS292" s="97"/>
      <c r="AT292" s="97"/>
      <c r="AU292" s="97"/>
      <c r="AV292" s="97"/>
      <c r="AW292" s="97"/>
      <c r="AX292" s="97"/>
      <c r="AY292" s="97"/>
      <c r="AZ292" s="97"/>
      <c r="BA292" s="97"/>
      <c r="BB292" s="97"/>
      <c r="BC292" s="97"/>
      <c r="BD292" s="97"/>
      <c r="BE292" s="97"/>
    </row>
    <row r="293" s="115" customFormat="1" customHeight="1" spans="1:57">
      <c r="A293" s="115" t="s">
        <v>4423</v>
      </c>
      <c r="B293" s="111" t="s">
        <v>4424</v>
      </c>
      <c r="C293" s="111" t="s">
        <v>4425</v>
      </c>
      <c r="D293" s="121" t="s">
        <v>4426</v>
      </c>
      <c r="E293" s="266">
        <v>15838078675</v>
      </c>
      <c r="F293" s="267">
        <v>3</v>
      </c>
      <c r="G293" s="268">
        <v>3593</v>
      </c>
      <c r="H293" s="268">
        <v>12.36</v>
      </c>
      <c r="I293" s="274" t="s">
        <v>2657</v>
      </c>
      <c r="J293" s="113" t="s">
        <v>4427</v>
      </c>
      <c r="K293" s="266">
        <v>12.39</v>
      </c>
      <c r="L293" s="266" t="s">
        <v>2961</v>
      </c>
      <c r="M293" s="275" t="s">
        <v>3017</v>
      </c>
      <c r="N293" s="113" t="s">
        <v>66</v>
      </c>
      <c r="O293" s="113"/>
      <c r="P293" s="113"/>
      <c r="Q293" s="113">
        <v>31436.88</v>
      </c>
      <c r="R293" s="113">
        <v>388560</v>
      </c>
      <c r="S293" s="280">
        <v>278560</v>
      </c>
      <c r="T293" s="281"/>
      <c r="U293" s="280">
        <v>110000</v>
      </c>
      <c r="V293" s="280">
        <v>803</v>
      </c>
      <c r="W293" s="280">
        <v>550</v>
      </c>
      <c r="X293" s="280"/>
      <c r="Y293" s="113" t="s">
        <v>2669</v>
      </c>
      <c r="Z293" s="113" t="s">
        <v>48</v>
      </c>
      <c r="AA293" s="275">
        <v>44020</v>
      </c>
      <c r="AB293" s="113"/>
      <c r="AC293" s="113">
        <v>1231</v>
      </c>
      <c r="AD293" s="113"/>
      <c r="AE293" s="133"/>
      <c r="AG293" s="133"/>
      <c r="AH293" s="133"/>
      <c r="AI293" s="132">
        <f t="shared" si="91"/>
        <v>391144</v>
      </c>
      <c r="AJ293" s="132">
        <f t="shared" si="92"/>
        <v>389913</v>
      </c>
      <c r="AK293" s="133">
        <f t="shared" si="93"/>
        <v>1231</v>
      </c>
      <c r="AL293" s="132"/>
      <c r="AM293" s="133"/>
      <c r="AN293" s="246">
        <v>44841</v>
      </c>
      <c r="AO293" s="137"/>
      <c r="AP293" s="97"/>
      <c r="AQ293" s="97"/>
      <c r="AR293" s="97"/>
      <c r="AS293" s="97"/>
      <c r="AT293" s="97"/>
      <c r="AU293" s="97"/>
      <c r="AV293" s="97"/>
      <c r="AW293" s="97"/>
      <c r="AX293" s="97"/>
      <c r="AY293" s="97"/>
      <c r="AZ293" s="97"/>
      <c r="BA293" s="97"/>
      <c r="BB293" s="97"/>
      <c r="BC293" s="97"/>
      <c r="BD293" s="97"/>
      <c r="BE293" s="97"/>
    </row>
    <row r="294" s="115" customFormat="1" customHeight="1" spans="1:57">
      <c r="A294" s="115" t="s">
        <v>4428</v>
      </c>
      <c r="B294" s="111" t="s">
        <v>4429</v>
      </c>
      <c r="C294" s="111" t="s">
        <v>4430</v>
      </c>
      <c r="D294" s="121" t="s">
        <v>4431</v>
      </c>
      <c r="E294" s="266">
        <v>15890605791</v>
      </c>
      <c r="F294" s="267">
        <v>3</v>
      </c>
      <c r="G294" s="268">
        <v>3306</v>
      </c>
      <c r="H294" s="268">
        <v>18.75</v>
      </c>
      <c r="I294" s="274" t="s">
        <v>2657</v>
      </c>
      <c r="J294" s="113" t="s">
        <v>4432</v>
      </c>
      <c r="K294" s="266">
        <v>17.08</v>
      </c>
      <c r="L294" s="266" t="s">
        <v>3956</v>
      </c>
      <c r="M294" s="275" t="s">
        <v>3048</v>
      </c>
      <c r="N294" s="113" t="s">
        <v>66</v>
      </c>
      <c r="O294" s="113"/>
      <c r="P294" s="113"/>
      <c r="Q294" s="113">
        <v>31199.36</v>
      </c>
      <c r="R294" s="113">
        <v>532885</v>
      </c>
      <c r="S294" s="280">
        <v>272885</v>
      </c>
      <c r="T294" s="281">
        <f t="shared" ref="T294:T307" si="94">R294-S294</f>
        <v>260000</v>
      </c>
      <c r="U294" s="280"/>
      <c r="V294" s="280"/>
      <c r="W294" s="280"/>
      <c r="X294" s="280"/>
      <c r="Y294" s="113"/>
      <c r="Z294" s="113"/>
      <c r="AA294" s="275"/>
      <c r="AB294" s="113"/>
      <c r="AC294" s="113"/>
      <c r="AD294" s="113"/>
      <c r="AE294" s="133"/>
      <c r="AG294" s="133"/>
      <c r="AH294" s="133"/>
      <c r="AI294" s="132">
        <f t="shared" si="91"/>
        <v>272885</v>
      </c>
      <c r="AJ294" s="132">
        <f t="shared" si="92"/>
        <v>272885</v>
      </c>
      <c r="AK294" s="133">
        <f t="shared" si="93"/>
        <v>0</v>
      </c>
      <c r="AL294" s="132"/>
      <c r="AM294" s="133"/>
      <c r="AN294" s="246">
        <v>44841</v>
      </c>
      <c r="AO294" s="137"/>
      <c r="AP294" s="97"/>
      <c r="AQ294" s="97"/>
      <c r="AR294" s="97"/>
      <c r="AS294" s="97"/>
      <c r="AT294" s="97"/>
      <c r="AU294" s="97"/>
      <c r="AV294" s="97"/>
      <c r="AW294" s="97"/>
      <c r="AX294" s="97"/>
      <c r="AY294" s="97"/>
      <c r="AZ294" s="97"/>
      <c r="BA294" s="97"/>
      <c r="BB294" s="97"/>
      <c r="BC294" s="97"/>
      <c r="BD294" s="97"/>
      <c r="BE294" s="97"/>
    </row>
    <row r="295" s="115" customFormat="1" customHeight="1" spans="1:57">
      <c r="A295" s="115" t="s">
        <v>4433</v>
      </c>
      <c r="B295" s="111" t="s">
        <v>4434</v>
      </c>
      <c r="C295" s="554" t="s">
        <v>4435</v>
      </c>
      <c r="D295" s="121" t="s">
        <v>4436</v>
      </c>
      <c r="E295" s="266">
        <v>13592556512</v>
      </c>
      <c r="F295" s="267">
        <v>4</v>
      </c>
      <c r="G295" s="268">
        <v>4283</v>
      </c>
      <c r="H295" s="268">
        <v>26.02</v>
      </c>
      <c r="I295" s="274" t="s">
        <v>2657</v>
      </c>
      <c r="J295" s="113" t="s">
        <v>4437</v>
      </c>
      <c r="K295" s="266">
        <v>12.3</v>
      </c>
      <c r="L295" s="266" t="s">
        <v>3096</v>
      </c>
      <c r="M295" s="275" t="s">
        <v>4288</v>
      </c>
      <c r="N295" s="113" t="s">
        <v>66</v>
      </c>
      <c r="O295" s="113"/>
      <c r="P295" s="113"/>
      <c r="Q295" s="113">
        <v>26553.17</v>
      </c>
      <c r="R295" s="113">
        <v>326604</v>
      </c>
      <c r="S295" s="280">
        <v>226604</v>
      </c>
      <c r="T295" s="281">
        <f t="shared" si="94"/>
        <v>100000</v>
      </c>
      <c r="U295" s="280"/>
      <c r="V295" s="280"/>
      <c r="W295" s="280"/>
      <c r="X295" s="280"/>
      <c r="Y295" s="113"/>
      <c r="Z295" s="113"/>
      <c r="AA295" s="275"/>
      <c r="AB295" s="113" t="s">
        <v>4438</v>
      </c>
      <c r="AC295" s="113"/>
      <c r="AD295" s="113"/>
      <c r="AE295" s="133"/>
      <c r="AG295" s="133"/>
      <c r="AH295" s="133"/>
      <c r="AI295" s="132">
        <f t="shared" ref="AI295:AI300" si="95">S295+U295+V295+W295+X295+AC295+AD295+AE295</f>
        <v>226604</v>
      </c>
      <c r="AJ295" s="132">
        <f t="shared" ref="AJ295:AJ300" si="96">S295+U295+V295+W295+X295</f>
        <v>226604</v>
      </c>
      <c r="AK295" s="133">
        <f t="shared" ref="AK295:AK300" si="97">AI295-AJ295</f>
        <v>0</v>
      </c>
      <c r="AL295" s="132"/>
      <c r="AM295" s="133"/>
      <c r="AN295" s="246">
        <v>44841</v>
      </c>
      <c r="AO295" s="137"/>
      <c r="AP295" s="97"/>
      <c r="AQ295" s="97"/>
      <c r="AR295" s="97"/>
      <c r="AS295" s="97"/>
      <c r="AT295" s="97"/>
      <c r="AU295" s="97"/>
      <c r="AV295" s="97"/>
      <c r="AW295" s="97"/>
      <c r="AX295" s="97"/>
      <c r="AY295" s="97"/>
      <c r="AZ295" s="97"/>
      <c r="BA295" s="97"/>
      <c r="BB295" s="97"/>
      <c r="BC295" s="97"/>
      <c r="BD295" s="97"/>
      <c r="BE295" s="97"/>
    </row>
    <row r="296" s="115" customFormat="1" customHeight="1" spans="1:57">
      <c r="A296" s="115" t="s">
        <v>4439</v>
      </c>
      <c r="B296" s="111" t="s">
        <v>4440</v>
      </c>
      <c r="C296" s="554" t="s">
        <v>4441</v>
      </c>
      <c r="D296" s="121" t="s">
        <v>4442</v>
      </c>
      <c r="E296" s="266">
        <v>15837149889</v>
      </c>
      <c r="F296" s="267">
        <v>4</v>
      </c>
      <c r="G296" s="268">
        <v>4329</v>
      </c>
      <c r="H296" s="268">
        <v>37.47</v>
      </c>
      <c r="I296" s="274" t="s">
        <v>2657</v>
      </c>
      <c r="J296" s="113" t="s">
        <v>4443</v>
      </c>
      <c r="K296" s="266">
        <v>34.11</v>
      </c>
      <c r="L296" s="266" t="s">
        <v>3571</v>
      </c>
      <c r="M296" s="275" t="s">
        <v>4444</v>
      </c>
      <c r="N296" s="113" t="s">
        <v>66</v>
      </c>
      <c r="O296" s="113"/>
      <c r="P296" s="113"/>
      <c r="Q296" s="113">
        <v>26131.87</v>
      </c>
      <c r="R296" s="113">
        <v>971358</v>
      </c>
      <c r="S296" s="280">
        <v>491358</v>
      </c>
      <c r="T296" s="281">
        <f t="shared" si="94"/>
        <v>480000</v>
      </c>
      <c r="U296" s="280"/>
      <c r="V296" s="280">
        <v>2435</v>
      </c>
      <c r="W296" s="280">
        <v>550</v>
      </c>
      <c r="X296" s="280"/>
      <c r="Y296" s="113"/>
      <c r="Z296" s="113"/>
      <c r="AA296" s="275"/>
      <c r="AB296" s="113"/>
      <c r="AC296" s="113"/>
      <c r="AD296" s="113"/>
      <c r="AE296" s="133"/>
      <c r="AF296" s="115" t="s">
        <v>2771</v>
      </c>
      <c r="AG296" s="133" t="s">
        <v>4445</v>
      </c>
      <c r="AH296" s="133"/>
      <c r="AI296" s="132">
        <f t="shared" si="95"/>
        <v>494343</v>
      </c>
      <c r="AJ296" s="132">
        <f t="shared" si="96"/>
        <v>494343</v>
      </c>
      <c r="AK296" s="133">
        <f t="shared" si="97"/>
        <v>0</v>
      </c>
      <c r="AL296" s="132"/>
      <c r="AM296" s="133"/>
      <c r="AN296" s="246">
        <v>44841</v>
      </c>
      <c r="AO296" s="137"/>
      <c r="AP296" s="97"/>
      <c r="AQ296" s="97"/>
      <c r="AR296" s="97"/>
      <c r="AS296" s="97"/>
      <c r="AT296" s="97"/>
      <c r="AU296" s="97"/>
      <c r="AV296" s="97"/>
      <c r="AW296" s="97"/>
      <c r="AX296" s="97"/>
      <c r="AY296" s="97"/>
      <c r="AZ296" s="97"/>
      <c r="BA296" s="97"/>
      <c r="BB296" s="97"/>
      <c r="BC296" s="97"/>
      <c r="BD296" s="97"/>
      <c r="BE296" s="97"/>
    </row>
    <row r="297" s="115" customFormat="1" customHeight="1" spans="1:57">
      <c r="A297" s="115" t="s">
        <v>4446</v>
      </c>
      <c r="B297" s="111" t="s">
        <v>4447</v>
      </c>
      <c r="C297" s="111" t="s">
        <v>4448</v>
      </c>
      <c r="D297" s="121" t="s">
        <v>4449</v>
      </c>
      <c r="E297" s="266">
        <v>18739922406</v>
      </c>
      <c r="F297" s="267">
        <v>3</v>
      </c>
      <c r="G297" s="268">
        <v>3357</v>
      </c>
      <c r="H297" s="268">
        <v>17.87</v>
      </c>
      <c r="I297" s="274" t="s">
        <v>2657</v>
      </c>
      <c r="J297" s="113" t="s">
        <v>4450</v>
      </c>
      <c r="K297" s="266">
        <v>17.78</v>
      </c>
      <c r="L297" s="266" t="s">
        <v>3282</v>
      </c>
      <c r="M297" s="275" t="s">
        <v>4451</v>
      </c>
      <c r="N297" s="113" t="s">
        <v>56</v>
      </c>
      <c r="O297" s="113"/>
      <c r="P297" s="113"/>
      <c r="Q297" s="113">
        <v>31583.55</v>
      </c>
      <c r="R297" s="113">
        <v>564398</v>
      </c>
      <c r="S297" s="280">
        <v>564398</v>
      </c>
      <c r="T297" s="281">
        <f t="shared" si="94"/>
        <v>0</v>
      </c>
      <c r="U297" s="280"/>
      <c r="V297" s="280">
        <v>1161</v>
      </c>
      <c r="W297" s="280">
        <v>550</v>
      </c>
      <c r="X297" s="280"/>
      <c r="Y297" s="113" t="s">
        <v>2669</v>
      </c>
      <c r="Z297" s="113" t="s">
        <v>48</v>
      </c>
      <c r="AA297" s="275">
        <v>44058</v>
      </c>
      <c r="AB297" s="113"/>
      <c r="AC297" s="113"/>
      <c r="AD297" s="113"/>
      <c r="AE297" s="133"/>
      <c r="AG297" s="133"/>
      <c r="AH297" s="133"/>
      <c r="AI297" s="132">
        <f t="shared" si="95"/>
        <v>566109</v>
      </c>
      <c r="AJ297" s="132">
        <f t="shared" si="96"/>
        <v>566109</v>
      </c>
      <c r="AK297" s="133">
        <f t="shared" si="97"/>
        <v>0</v>
      </c>
      <c r="AL297" s="132"/>
      <c r="AM297" s="133"/>
      <c r="AN297" s="246">
        <v>44841</v>
      </c>
      <c r="AO297" s="137"/>
      <c r="AP297" s="97"/>
      <c r="AQ297" s="97"/>
      <c r="AR297" s="97"/>
      <c r="AS297" s="97"/>
      <c r="AT297" s="97"/>
      <c r="AU297" s="97"/>
      <c r="AV297" s="97"/>
      <c r="AW297" s="97"/>
      <c r="AX297" s="97"/>
      <c r="AY297" s="97"/>
      <c r="AZ297" s="97"/>
      <c r="BA297" s="97"/>
      <c r="BB297" s="97"/>
      <c r="BC297" s="97"/>
      <c r="BD297" s="97"/>
      <c r="BE297" s="97"/>
    </row>
    <row r="298" s="115" customFormat="1" customHeight="1" spans="1:57">
      <c r="A298" s="115" t="s">
        <v>4452</v>
      </c>
      <c r="B298" s="111" t="s">
        <v>4453</v>
      </c>
      <c r="C298" s="554" t="s">
        <v>4454</v>
      </c>
      <c r="D298" s="121" t="s">
        <v>4455</v>
      </c>
      <c r="E298" s="266">
        <v>15238515703</v>
      </c>
      <c r="F298" s="267">
        <v>2</v>
      </c>
      <c r="G298" s="268">
        <v>238</v>
      </c>
      <c r="H298" s="268">
        <v>27.2</v>
      </c>
      <c r="I298" s="274" t="s">
        <v>2665</v>
      </c>
      <c r="J298" s="113" t="s">
        <v>4456</v>
      </c>
      <c r="K298" s="266">
        <v>27.35</v>
      </c>
      <c r="L298" s="266" t="s">
        <v>2711</v>
      </c>
      <c r="M298" s="275" t="s">
        <v>2941</v>
      </c>
      <c r="N298" s="113" t="s">
        <v>66</v>
      </c>
      <c r="O298" s="113"/>
      <c r="P298" s="113"/>
      <c r="Q298" s="113">
        <v>29675.8683729433</v>
      </c>
      <c r="R298" s="113">
        <v>807184</v>
      </c>
      <c r="S298" s="280">
        <v>410184</v>
      </c>
      <c r="T298" s="281">
        <f t="shared" si="94"/>
        <v>397000</v>
      </c>
      <c r="U298" s="280"/>
      <c r="V298" s="280">
        <v>1768</v>
      </c>
      <c r="W298" s="280">
        <v>550</v>
      </c>
      <c r="X298" s="280"/>
      <c r="Y298" s="113"/>
      <c r="Z298" s="113"/>
      <c r="AA298" s="275"/>
      <c r="AB298" s="113" t="s">
        <v>4457</v>
      </c>
      <c r="AC298" s="113">
        <v>1259.7</v>
      </c>
      <c r="AD298" s="113"/>
      <c r="AE298" s="133"/>
      <c r="AG298" s="133"/>
      <c r="AH298" s="133"/>
      <c r="AI298" s="132">
        <f t="shared" si="95"/>
        <v>413761.7</v>
      </c>
      <c r="AJ298" s="132">
        <f t="shared" si="96"/>
        <v>412502</v>
      </c>
      <c r="AK298" s="133">
        <f t="shared" si="97"/>
        <v>1259.70000000001</v>
      </c>
      <c r="AL298" s="132"/>
      <c r="AM298" s="133"/>
      <c r="AN298" s="246">
        <v>44841</v>
      </c>
      <c r="AO298" s="137"/>
      <c r="AP298" s="97"/>
      <c r="AQ298" s="97"/>
      <c r="AR298" s="97"/>
      <c r="AS298" s="97"/>
      <c r="AT298" s="97"/>
      <c r="AU298" s="97"/>
      <c r="AV298" s="97"/>
      <c r="AW298" s="97"/>
      <c r="AX298" s="97"/>
      <c r="AY298" s="97"/>
      <c r="AZ298" s="97"/>
      <c r="BA298" s="97"/>
      <c r="BB298" s="97"/>
      <c r="BC298" s="97"/>
      <c r="BD298" s="97"/>
      <c r="BE298" s="97"/>
    </row>
    <row r="299" s="115" customFormat="1" customHeight="1" spans="1:57">
      <c r="A299" s="115" t="s">
        <v>4458</v>
      </c>
      <c r="B299" s="111" t="s">
        <v>4459</v>
      </c>
      <c r="C299" s="554" t="s">
        <v>4460</v>
      </c>
      <c r="D299" s="121" t="s">
        <v>4461</v>
      </c>
      <c r="E299" s="266">
        <v>13523803601</v>
      </c>
      <c r="F299" s="267">
        <v>2</v>
      </c>
      <c r="G299" s="268">
        <v>292</v>
      </c>
      <c r="H299" s="268">
        <v>27.64</v>
      </c>
      <c r="I299" s="274" t="s">
        <v>2665</v>
      </c>
      <c r="J299" s="113" t="s">
        <v>4462</v>
      </c>
      <c r="K299" s="266">
        <v>27.1</v>
      </c>
      <c r="L299" s="266" t="s">
        <v>2793</v>
      </c>
      <c r="M299" s="275"/>
      <c r="N299" s="113" t="s">
        <v>66</v>
      </c>
      <c r="O299" s="113"/>
      <c r="P299" s="113"/>
      <c r="Q299" s="113">
        <v>29614.46</v>
      </c>
      <c r="R299" s="113">
        <v>802552</v>
      </c>
      <c r="S299" s="280">
        <v>402552</v>
      </c>
      <c r="T299" s="281">
        <f t="shared" si="94"/>
        <v>400000</v>
      </c>
      <c r="U299" s="280"/>
      <c r="V299" s="280"/>
      <c r="W299" s="280"/>
      <c r="X299" s="280"/>
      <c r="Y299" s="113"/>
      <c r="Z299" s="113"/>
      <c r="AA299" s="275"/>
      <c r="AB299" s="113"/>
      <c r="AC299" s="113">
        <v>12609</v>
      </c>
      <c r="AD299" s="113"/>
      <c r="AE299" s="133"/>
      <c r="AG299" s="133"/>
      <c r="AH299" s="133"/>
      <c r="AI299" s="132">
        <f t="shared" si="95"/>
        <v>415161</v>
      </c>
      <c r="AJ299" s="132">
        <f t="shared" si="96"/>
        <v>402552</v>
      </c>
      <c r="AK299" s="133">
        <f t="shared" si="97"/>
        <v>12609</v>
      </c>
      <c r="AL299" s="132"/>
      <c r="AM299" s="133"/>
      <c r="AN299" s="246">
        <v>44841</v>
      </c>
      <c r="AO299" s="137"/>
      <c r="AP299" s="97"/>
      <c r="AQ299" s="97"/>
      <c r="AR299" s="97"/>
      <c r="AS299" s="97"/>
      <c r="AT299" s="97"/>
      <c r="AU299" s="97"/>
      <c r="AV299" s="97"/>
      <c r="AW299" s="97"/>
      <c r="AX299" s="97"/>
      <c r="AY299" s="97"/>
      <c r="AZ299" s="97"/>
      <c r="BA299" s="97"/>
      <c r="BB299" s="97"/>
      <c r="BC299" s="97"/>
      <c r="BD299" s="97"/>
      <c r="BE299" s="97"/>
    </row>
    <row r="300" s="115" customFormat="1" customHeight="1" spans="1:57">
      <c r="A300" s="115" t="s">
        <v>4463</v>
      </c>
      <c r="B300" s="111" t="s">
        <v>4464</v>
      </c>
      <c r="C300" s="554" t="s">
        <v>4465</v>
      </c>
      <c r="D300" s="121" t="s">
        <v>4466</v>
      </c>
      <c r="E300" s="266">
        <v>13461196111</v>
      </c>
      <c r="F300" s="267">
        <v>4</v>
      </c>
      <c r="G300" s="268">
        <v>4168</v>
      </c>
      <c r="H300" s="268">
        <v>27.35</v>
      </c>
      <c r="I300" s="274" t="s">
        <v>2665</v>
      </c>
      <c r="J300" s="113" t="s">
        <v>4467</v>
      </c>
      <c r="K300" s="266">
        <v>25.53</v>
      </c>
      <c r="L300" s="266" t="s">
        <v>2793</v>
      </c>
      <c r="M300" s="275" t="s">
        <v>3766</v>
      </c>
      <c r="N300" s="113" t="s">
        <v>56</v>
      </c>
      <c r="O300" s="113"/>
      <c r="P300" s="113"/>
      <c r="Q300" s="113">
        <v>19621.4257735997</v>
      </c>
      <c r="R300" s="113">
        <v>536646</v>
      </c>
      <c r="S300" s="280">
        <v>536646</v>
      </c>
      <c r="T300" s="281">
        <f t="shared" si="94"/>
        <v>0</v>
      </c>
      <c r="U300" s="280"/>
      <c r="V300" s="280">
        <v>1777</v>
      </c>
      <c r="W300" s="280">
        <v>550</v>
      </c>
      <c r="X300" s="280"/>
      <c r="Y300" s="113" t="s">
        <v>2669</v>
      </c>
      <c r="Z300" s="113"/>
      <c r="AA300" s="275"/>
      <c r="AB300" s="113" t="s">
        <v>4468</v>
      </c>
      <c r="AC300" s="113"/>
      <c r="AD300" s="113">
        <v>123000</v>
      </c>
      <c r="AE300" s="133"/>
      <c r="AG300" s="133"/>
      <c r="AH300" s="133"/>
      <c r="AI300" s="132">
        <f t="shared" si="95"/>
        <v>661973</v>
      </c>
      <c r="AJ300" s="132">
        <f t="shared" si="96"/>
        <v>538973</v>
      </c>
      <c r="AK300" s="133">
        <f t="shared" si="97"/>
        <v>123000</v>
      </c>
      <c r="AL300" s="132"/>
      <c r="AM300" s="133"/>
      <c r="AN300" s="246">
        <v>44841</v>
      </c>
      <c r="AO300" s="137"/>
      <c r="AP300" s="97"/>
      <c r="AQ300" s="97"/>
      <c r="AR300" s="97"/>
      <c r="AS300" s="97"/>
      <c r="AT300" s="97"/>
      <c r="AU300" s="97"/>
      <c r="AV300" s="97"/>
      <c r="AW300" s="97"/>
      <c r="AX300" s="97"/>
      <c r="AY300" s="97"/>
      <c r="AZ300" s="97"/>
      <c r="BA300" s="97"/>
      <c r="BB300" s="97"/>
      <c r="BC300" s="97"/>
      <c r="BD300" s="97"/>
      <c r="BE300" s="97"/>
    </row>
    <row r="301" s="115" customFormat="1" customHeight="1" spans="1:57">
      <c r="A301" s="115" t="s">
        <v>4469</v>
      </c>
      <c r="B301" s="111" t="s">
        <v>4470</v>
      </c>
      <c r="C301" s="111" t="s">
        <v>4471</v>
      </c>
      <c r="D301" s="121" t="s">
        <v>4472</v>
      </c>
      <c r="E301" s="266">
        <v>13592475913</v>
      </c>
      <c r="F301" s="267">
        <v>3</v>
      </c>
      <c r="G301" s="268">
        <v>3680</v>
      </c>
      <c r="H301" s="268">
        <v>20.04</v>
      </c>
      <c r="I301" s="274" t="s">
        <v>2657</v>
      </c>
      <c r="J301" s="113" t="s">
        <v>4473</v>
      </c>
      <c r="K301" s="266">
        <v>17.4</v>
      </c>
      <c r="L301" s="266" t="s">
        <v>3793</v>
      </c>
      <c r="M301" s="275" t="s">
        <v>3772</v>
      </c>
      <c r="N301" s="113" t="s">
        <v>56</v>
      </c>
      <c r="O301" s="113"/>
      <c r="P301" s="113"/>
      <c r="Q301" s="113">
        <v>31265.86</v>
      </c>
      <c r="R301" s="113">
        <v>626568</v>
      </c>
      <c r="S301" s="280">
        <v>626568</v>
      </c>
      <c r="T301" s="281">
        <f t="shared" si="94"/>
        <v>0</v>
      </c>
      <c r="U301" s="280"/>
      <c r="V301" s="280">
        <v>1302</v>
      </c>
      <c r="W301" s="280">
        <v>550</v>
      </c>
      <c r="X301" s="280"/>
      <c r="Y301" s="113" t="s">
        <v>2669</v>
      </c>
      <c r="Z301" s="113" t="s">
        <v>48</v>
      </c>
      <c r="AA301" s="275">
        <v>44052</v>
      </c>
      <c r="AB301" s="113"/>
      <c r="AC301" s="113"/>
      <c r="AD301" s="113"/>
      <c r="AE301" s="133"/>
      <c r="AG301" s="133"/>
      <c r="AH301" s="133"/>
      <c r="AI301" s="132">
        <f t="shared" ref="AI301:AI311" si="98">S301+U301+V301+W301+X301+AC301+AD301+AE301</f>
        <v>628420</v>
      </c>
      <c r="AJ301" s="132">
        <f t="shared" ref="AJ301:AJ311" si="99">S301+U301+V301+W301+X301</f>
        <v>628420</v>
      </c>
      <c r="AK301" s="133">
        <f t="shared" ref="AK301:AK311" si="100">AI301-AJ301</f>
        <v>0</v>
      </c>
      <c r="AL301" s="132"/>
      <c r="AM301" s="133"/>
      <c r="AN301" s="246">
        <v>44841</v>
      </c>
      <c r="AO301" s="137"/>
      <c r="AP301" s="97"/>
      <c r="AQ301" s="97"/>
      <c r="AR301" s="97"/>
      <c r="AS301" s="97"/>
      <c r="AT301" s="97"/>
      <c r="AU301" s="97"/>
      <c r="AV301" s="97"/>
      <c r="AW301" s="97"/>
      <c r="AX301" s="97"/>
      <c r="AY301" s="97"/>
      <c r="AZ301" s="97"/>
      <c r="BA301" s="97"/>
      <c r="BB301" s="97"/>
      <c r="BC301" s="97"/>
      <c r="BD301" s="97"/>
      <c r="BE301" s="97"/>
    </row>
    <row r="302" s="115" customFormat="1" customHeight="1" spans="1:57">
      <c r="A302" s="115" t="s">
        <v>4474</v>
      </c>
      <c r="B302" s="111" t="s">
        <v>4475</v>
      </c>
      <c r="C302" s="111" t="s">
        <v>4476</v>
      </c>
      <c r="D302" s="121" t="s">
        <v>4477</v>
      </c>
      <c r="E302" s="266">
        <v>15136281662</v>
      </c>
      <c r="F302" s="267">
        <v>3</v>
      </c>
      <c r="G302" s="268">
        <v>3868</v>
      </c>
      <c r="H302" s="268">
        <v>32.14</v>
      </c>
      <c r="I302" s="274" t="s">
        <v>2657</v>
      </c>
      <c r="J302" s="113" t="s">
        <v>4478</v>
      </c>
      <c r="K302" s="266">
        <v>30.86</v>
      </c>
      <c r="L302" s="266" t="s">
        <v>2861</v>
      </c>
      <c r="M302" s="275" t="s">
        <v>3818</v>
      </c>
      <c r="N302" s="113" t="s">
        <v>56</v>
      </c>
      <c r="O302" s="113"/>
      <c r="P302" s="113"/>
      <c r="Q302" s="113">
        <v>31124.5</v>
      </c>
      <c r="R302" s="113">
        <v>1000341</v>
      </c>
      <c r="S302" s="280">
        <v>1000341</v>
      </c>
      <c r="T302" s="281">
        <f t="shared" si="94"/>
        <v>0</v>
      </c>
      <c r="U302" s="280"/>
      <c r="V302" s="280">
        <v>2089</v>
      </c>
      <c r="W302" s="280">
        <v>550</v>
      </c>
      <c r="X302" s="280"/>
      <c r="Y302" s="113" t="s">
        <v>2669</v>
      </c>
      <c r="Z302" s="113" t="s">
        <v>48</v>
      </c>
      <c r="AA302" s="275">
        <v>44052</v>
      </c>
      <c r="AB302" s="113"/>
      <c r="AC302" s="113"/>
      <c r="AD302" s="113"/>
      <c r="AE302" s="133"/>
      <c r="AG302" s="133"/>
      <c r="AH302" s="133"/>
      <c r="AI302" s="132">
        <f t="shared" si="98"/>
        <v>1002980</v>
      </c>
      <c r="AJ302" s="132">
        <f t="shared" si="99"/>
        <v>1002980</v>
      </c>
      <c r="AK302" s="133">
        <f t="shared" si="100"/>
        <v>0</v>
      </c>
      <c r="AL302" s="132"/>
      <c r="AM302" s="133"/>
      <c r="AN302" s="246">
        <v>44841</v>
      </c>
      <c r="AO302" s="137"/>
      <c r="AP302" s="97"/>
      <c r="AQ302" s="97"/>
      <c r="AR302" s="97"/>
      <c r="AS302" s="97"/>
      <c r="AT302" s="97"/>
      <c r="AU302" s="97"/>
      <c r="AV302" s="97"/>
      <c r="AW302" s="97"/>
      <c r="AX302" s="97"/>
      <c r="AY302" s="97"/>
      <c r="AZ302" s="97"/>
      <c r="BA302" s="97"/>
      <c r="BB302" s="97"/>
      <c r="BC302" s="97"/>
      <c r="BD302" s="97"/>
      <c r="BE302" s="97"/>
    </row>
    <row r="303" s="115" customFormat="1" customHeight="1" spans="1:57">
      <c r="A303" s="115" t="s">
        <v>4479</v>
      </c>
      <c r="B303" s="111" t="s">
        <v>4480</v>
      </c>
      <c r="C303" s="554" t="s">
        <v>4481</v>
      </c>
      <c r="D303" s="121" t="s">
        <v>4482</v>
      </c>
      <c r="E303" s="266">
        <v>13027701144</v>
      </c>
      <c r="F303" s="267">
        <v>4</v>
      </c>
      <c r="G303" s="268">
        <v>452</v>
      </c>
      <c r="H303" s="268">
        <v>20.03</v>
      </c>
      <c r="I303" s="274" t="s">
        <v>2657</v>
      </c>
      <c r="J303" s="113" t="s">
        <v>4483</v>
      </c>
      <c r="K303" s="266">
        <v>18</v>
      </c>
      <c r="L303" s="266" t="s">
        <v>4484</v>
      </c>
      <c r="M303" s="275" t="s">
        <v>2960</v>
      </c>
      <c r="N303" s="113" t="s">
        <v>66</v>
      </c>
      <c r="O303" s="113"/>
      <c r="P303" s="113"/>
      <c r="Q303" s="113">
        <v>26034.89</v>
      </c>
      <c r="R303" s="113">
        <v>468628</v>
      </c>
      <c r="S303" s="280">
        <v>238628</v>
      </c>
      <c r="T303" s="281">
        <f t="shared" si="94"/>
        <v>230000</v>
      </c>
      <c r="U303" s="280"/>
      <c r="V303" s="280"/>
      <c r="W303" s="280"/>
      <c r="X303" s="280"/>
      <c r="Y303" s="113"/>
      <c r="Z303" s="113"/>
      <c r="AA303" s="275"/>
      <c r="AB303" s="113"/>
      <c r="AC303" s="113"/>
      <c r="AD303" s="113"/>
      <c r="AE303" s="133"/>
      <c r="AG303" s="133"/>
      <c r="AH303" s="133"/>
      <c r="AI303" s="132">
        <f t="shared" si="98"/>
        <v>238628</v>
      </c>
      <c r="AJ303" s="132">
        <f t="shared" si="99"/>
        <v>238628</v>
      </c>
      <c r="AK303" s="133">
        <f t="shared" si="100"/>
        <v>0</v>
      </c>
      <c r="AL303" s="132"/>
      <c r="AM303" s="133"/>
      <c r="AN303" s="246">
        <v>44841</v>
      </c>
      <c r="AO303" s="137"/>
      <c r="AP303" s="97"/>
      <c r="AQ303" s="97"/>
      <c r="AR303" s="97"/>
      <c r="AS303" s="97"/>
      <c r="AT303" s="97"/>
      <c r="AU303" s="97"/>
      <c r="AV303" s="97"/>
      <c r="AW303" s="97"/>
      <c r="AX303" s="97"/>
      <c r="AY303" s="97"/>
      <c r="AZ303" s="97"/>
      <c r="BA303" s="97"/>
      <c r="BB303" s="97"/>
      <c r="BC303" s="97"/>
      <c r="BD303" s="97"/>
      <c r="BE303" s="97"/>
    </row>
    <row r="304" s="115" customFormat="1" customHeight="1" spans="1:57">
      <c r="A304" s="115" t="s">
        <v>4485</v>
      </c>
      <c r="B304" s="111" t="s">
        <v>4486</v>
      </c>
      <c r="C304" s="554" t="s">
        <v>4487</v>
      </c>
      <c r="D304" s="121" t="s">
        <v>4488</v>
      </c>
      <c r="E304" s="266">
        <v>18638620529</v>
      </c>
      <c r="F304" s="267">
        <v>4</v>
      </c>
      <c r="G304" s="268">
        <v>4205</v>
      </c>
      <c r="H304" s="268">
        <v>67.37</v>
      </c>
      <c r="I304" s="274" t="s">
        <v>2657</v>
      </c>
      <c r="J304" s="113" t="s">
        <v>4489</v>
      </c>
      <c r="K304" s="266">
        <v>69.6</v>
      </c>
      <c r="L304" s="266" t="s">
        <v>4490</v>
      </c>
      <c r="M304" s="275" t="s">
        <v>3145</v>
      </c>
      <c r="N304" s="113" t="s">
        <v>56</v>
      </c>
      <c r="O304" s="113"/>
      <c r="P304" s="113"/>
      <c r="Q304" s="113">
        <v>20182.31</v>
      </c>
      <c r="R304" s="113">
        <v>1359682</v>
      </c>
      <c r="S304" s="280">
        <v>1359682</v>
      </c>
      <c r="T304" s="281">
        <f t="shared" si="94"/>
        <v>0</v>
      </c>
      <c r="U304" s="280"/>
      <c r="V304" s="280">
        <v>4379</v>
      </c>
      <c r="W304" s="280">
        <v>550</v>
      </c>
      <c r="X304" s="280">
        <v>40078</v>
      </c>
      <c r="Y304" s="113" t="s">
        <v>2669</v>
      </c>
      <c r="Z304" s="113" t="s">
        <v>48</v>
      </c>
      <c r="AA304" s="275">
        <v>44021</v>
      </c>
      <c r="AB304" s="113" t="s">
        <v>4491</v>
      </c>
      <c r="AC304" s="113"/>
      <c r="AD304" s="113"/>
      <c r="AE304" s="133"/>
      <c r="AG304" s="133"/>
      <c r="AH304" s="133"/>
      <c r="AI304" s="132">
        <f t="shared" si="98"/>
        <v>1404689</v>
      </c>
      <c r="AJ304" s="132">
        <f t="shared" si="99"/>
        <v>1404689</v>
      </c>
      <c r="AK304" s="133">
        <f t="shared" si="100"/>
        <v>0</v>
      </c>
      <c r="AL304" s="132"/>
      <c r="AM304" s="133"/>
      <c r="AN304" s="246">
        <v>44841</v>
      </c>
      <c r="AO304" s="137"/>
      <c r="AP304" s="97"/>
      <c r="AQ304" s="97"/>
      <c r="AR304" s="97"/>
      <c r="AS304" s="97"/>
      <c r="AT304" s="97"/>
      <c r="AU304" s="97"/>
      <c r="AV304" s="97"/>
      <c r="AW304" s="97"/>
      <c r="AX304" s="97"/>
      <c r="AY304" s="97"/>
      <c r="AZ304" s="97"/>
      <c r="BA304" s="97"/>
      <c r="BB304" s="97"/>
      <c r="BC304" s="97"/>
      <c r="BD304" s="97"/>
      <c r="BE304" s="97"/>
    </row>
    <row r="305" s="115" customFormat="1" customHeight="1" spans="1:57">
      <c r="A305" s="115" t="s">
        <v>4492</v>
      </c>
      <c r="B305" s="111" t="s">
        <v>4493</v>
      </c>
      <c r="C305" s="554" t="s">
        <v>4494</v>
      </c>
      <c r="D305" s="121" t="s">
        <v>4495</v>
      </c>
      <c r="E305" s="266">
        <v>15237121792</v>
      </c>
      <c r="F305" s="267">
        <v>1</v>
      </c>
      <c r="G305" s="268">
        <v>1602</v>
      </c>
      <c r="H305" s="268">
        <v>20.92</v>
      </c>
      <c r="I305" s="274" t="s">
        <v>2657</v>
      </c>
      <c r="J305" s="113" t="s">
        <v>4496</v>
      </c>
      <c r="K305" s="266">
        <v>22.66</v>
      </c>
      <c r="L305" s="266" t="s">
        <v>3074</v>
      </c>
      <c r="M305" s="275" t="s">
        <v>3017</v>
      </c>
      <c r="N305" s="113" t="s">
        <v>66</v>
      </c>
      <c r="O305" s="113"/>
      <c r="P305" s="113"/>
      <c r="Q305" s="113">
        <v>47403.84</v>
      </c>
      <c r="R305" s="113">
        <v>991688</v>
      </c>
      <c r="S305" s="280">
        <v>551688</v>
      </c>
      <c r="T305" s="281">
        <f t="shared" si="94"/>
        <v>440000</v>
      </c>
      <c r="U305" s="280"/>
      <c r="V305" s="280">
        <v>1359</v>
      </c>
      <c r="W305" s="280">
        <v>550</v>
      </c>
      <c r="X305" s="280"/>
      <c r="Y305" s="113"/>
      <c r="Z305" s="113"/>
      <c r="AA305" s="275"/>
      <c r="AB305" s="113"/>
      <c r="AC305" s="113">
        <v>1264</v>
      </c>
      <c r="AD305" s="113"/>
      <c r="AE305" s="133"/>
      <c r="AG305" s="133"/>
      <c r="AH305" s="133"/>
      <c r="AI305" s="132">
        <f t="shared" si="98"/>
        <v>554861</v>
      </c>
      <c r="AJ305" s="132">
        <f t="shared" si="99"/>
        <v>553597</v>
      </c>
      <c r="AK305" s="133">
        <f t="shared" si="100"/>
        <v>1264</v>
      </c>
      <c r="AL305" s="132"/>
      <c r="AM305" s="133"/>
      <c r="AN305" s="246">
        <v>44841</v>
      </c>
      <c r="AO305" s="137"/>
      <c r="AP305" s="97"/>
      <c r="AQ305" s="97"/>
      <c r="AR305" s="97"/>
      <c r="AS305" s="97"/>
      <c r="AT305" s="97"/>
      <c r="AU305" s="97"/>
      <c r="AV305" s="97"/>
      <c r="AW305" s="97"/>
      <c r="AX305" s="97"/>
      <c r="AY305" s="97"/>
      <c r="AZ305" s="97"/>
      <c r="BA305" s="97"/>
      <c r="BB305" s="97"/>
      <c r="BC305" s="97"/>
      <c r="BD305" s="97"/>
      <c r="BE305" s="97"/>
    </row>
    <row r="306" s="115" customFormat="1" customHeight="1" spans="1:57">
      <c r="A306" s="115" t="s">
        <v>4497</v>
      </c>
      <c r="B306" s="111" t="s">
        <v>4498</v>
      </c>
      <c r="C306" s="554" t="s">
        <v>4499</v>
      </c>
      <c r="D306" s="121" t="s">
        <v>4500</v>
      </c>
      <c r="E306" s="266">
        <v>13837184333</v>
      </c>
      <c r="F306" s="267">
        <v>1</v>
      </c>
      <c r="G306" s="268">
        <v>106</v>
      </c>
      <c r="H306" s="268">
        <v>26.43</v>
      </c>
      <c r="I306" s="274" t="s">
        <v>2665</v>
      </c>
      <c r="J306" s="113" t="s">
        <v>4501</v>
      </c>
      <c r="K306" s="266">
        <v>19.23</v>
      </c>
      <c r="L306" s="266" t="s">
        <v>2711</v>
      </c>
      <c r="M306" s="275"/>
      <c r="N306" s="113" t="s">
        <v>56</v>
      </c>
      <c r="O306" s="113"/>
      <c r="P306" s="113"/>
      <c r="Q306" s="113">
        <v>48033.1773270931</v>
      </c>
      <c r="R306" s="113">
        <v>923678</v>
      </c>
      <c r="S306" s="280">
        <v>923678</v>
      </c>
      <c r="T306" s="281">
        <f t="shared" si="94"/>
        <v>0</v>
      </c>
      <c r="U306" s="280"/>
      <c r="V306" s="280"/>
      <c r="W306" s="280"/>
      <c r="X306" s="280"/>
      <c r="Y306" s="113"/>
      <c r="Z306" s="113"/>
      <c r="AA306" s="275"/>
      <c r="AB306" s="113"/>
      <c r="AC306" s="113"/>
      <c r="AD306" s="113"/>
      <c r="AE306" s="133"/>
      <c r="AG306" s="133"/>
      <c r="AH306" s="133"/>
      <c r="AI306" s="132">
        <f t="shared" si="98"/>
        <v>923678</v>
      </c>
      <c r="AJ306" s="132">
        <f t="shared" si="99"/>
        <v>923678</v>
      </c>
      <c r="AK306" s="133">
        <f t="shared" si="100"/>
        <v>0</v>
      </c>
      <c r="AL306" s="132"/>
      <c r="AM306" s="133"/>
      <c r="AN306" s="246">
        <v>44841</v>
      </c>
      <c r="AO306" s="137"/>
      <c r="AP306" s="97"/>
      <c r="AQ306" s="97"/>
      <c r="AR306" s="97"/>
      <c r="AS306" s="97"/>
      <c r="AT306" s="97"/>
      <c r="AU306" s="97"/>
      <c r="AV306" s="97"/>
      <c r="AW306" s="97"/>
      <c r="AX306" s="97"/>
      <c r="AY306" s="97"/>
      <c r="AZ306" s="97"/>
      <c r="BA306" s="97"/>
      <c r="BB306" s="97"/>
      <c r="BC306" s="97"/>
      <c r="BD306" s="97"/>
      <c r="BE306" s="97"/>
    </row>
    <row r="307" s="115" customFormat="1" customHeight="1" spans="1:57">
      <c r="A307" s="115" t="s">
        <v>4502</v>
      </c>
      <c r="B307" s="111" t="s">
        <v>4498</v>
      </c>
      <c r="C307" s="554" t="s">
        <v>4499</v>
      </c>
      <c r="D307" s="121" t="s">
        <v>4500</v>
      </c>
      <c r="E307" s="266">
        <v>13837184333</v>
      </c>
      <c r="F307" s="267">
        <v>1</v>
      </c>
      <c r="G307" s="268">
        <v>109</v>
      </c>
      <c r="H307" s="268">
        <v>27</v>
      </c>
      <c r="I307" s="274" t="s">
        <v>2665</v>
      </c>
      <c r="J307" s="113" t="s">
        <v>4503</v>
      </c>
      <c r="K307" s="266">
        <v>28.6</v>
      </c>
      <c r="L307" s="266" t="s">
        <v>2711</v>
      </c>
      <c r="M307" s="275"/>
      <c r="N307" s="113" t="s">
        <v>56</v>
      </c>
      <c r="O307" s="113"/>
      <c r="P307" s="113"/>
      <c r="Q307" s="113">
        <v>46660.8391608392</v>
      </c>
      <c r="R307" s="113">
        <v>1334500</v>
      </c>
      <c r="S307" s="280">
        <v>1334500</v>
      </c>
      <c r="T307" s="281">
        <f t="shared" si="94"/>
        <v>0</v>
      </c>
      <c r="U307" s="280"/>
      <c r="V307" s="280"/>
      <c r="W307" s="280"/>
      <c r="X307" s="280"/>
      <c r="Y307" s="113"/>
      <c r="Z307" s="113"/>
      <c r="AA307" s="275"/>
      <c r="AB307" s="113"/>
      <c r="AC307" s="113"/>
      <c r="AD307" s="113"/>
      <c r="AE307" s="133"/>
      <c r="AG307" s="133"/>
      <c r="AH307" s="133"/>
      <c r="AI307" s="132">
        <f t="shared" si="98"/>
        <v>1334500</v>
      </c>
      <c r="AJ307" s="132">
        <f t="shared" si="99"/>
        <v>1334500</v>
      </c>
      <c r="AK307" s="133">
        <f t="shared" si="100"/>
        <v>0</v>
      </c>
      <c r="AL307" s="132"/>
      <c r="AM307" s="133"/>
      <c r="AN307" s="246">
        <v>44841</v>
      </c>
      <c r="AO307" s="137"/>
      <c r="AP307" s="97"/>
      <c r="AQ307" s="97"/>
      <c r="AR307" s="97"/>
      <c r="AS307" s="97"/>
      <c r="AT307" s="97"/>
      <c r="AU307" s="97"/>
      <c r="AV307" s="97"/>
      <c r="AW307" s="97"/>
      <c r="AX307" s="97"/>
      <c r="AY307" s="97"/>
      <c r="AZ307" s="97"/>
      <c r="BA307" s="97"/>
      <c r="BB307" s="97"/>
      <c r="BC307" s="97"/>
      <c r="BD307" s="97"/>
      <c r="BE307" s="97"/>
    </row>
    <row r="308" s="115" customFormat="1" customHeight="1" spans="1:57">
      <c r="A308" s="115" t="s">
        <v>4504</v>
      </c>
      <c r="B308" s="111" t="s">
        <v>4505</v>
      </c>
      <c r="C308" s="111" t="s">
        <v>4506</v>
      </c>
      <c r="D308" s="121" t="s">
        <v>4507</v>
      </c>
      <c r="E308" s="266">
        <v>15890037862</v>
      </c>
      <c r="F308" s="267">
        <v>3</v>
      </c>
      <c r="G308" s="268">
        <v>3579</v>
      </c>
      <c r="H308" s="268">
        <v>12.98</v>
      </c>
      <c r="I308" s="274" t="s">
        <v>2657</v>
      </c>
      <c r="J308" s="113" t="s">
        <v>4508</v>
      </c>
      <c r="K308" s="266">
        <v>13.33</v>
      </c>
      <c r="L308" s="266" t="s">
        <v>3911</v>
      </c>
      <c r="M308" s="275" t="s">
        <v>2763</v>
      </c>
      <c r="N308" s="113" t="s">
        <v>66</v>
      </c>
      <c r="O308" s="113"/>
      <c r="P308" s="113"/>
      <c r="Q308" s="113">
        <v>32085.07</v>
      </c>
      <c r="R308" s="113">
        <v>416464</v>
      </c>
      <c r="S308" s="280">
        <v>226464</v>
      </c>
      <c r="T308" s="281"/>
      <c r="U308" s="280">
        <v>190000</v>
      </c>
      <c r="V308" s="280">
        <v>843</v>
      </c>
      <c r="W308" s="280">
        <v>550</v>
      </c>
      <c r="X308" s="280"/>
      <c r="Y308" s="113" t="s">
        <v>2669</v>
      </c>
      <c r="Z308" s="113" t="s">
        <v>48</v>
      </c>
      <c r="AA308" s="275">
        <v>44020</v>
      </c>
      <c r="AB308" s="113"/>
      <c r="AC308" s="113">
        <v>1239</v>
      </c>
      <c r="AD308" s="113"/>
      <c r="AE308" s="133"/>
      <c r="AG308" s="133"/>
      <c r="AH308" s="133"/>
      <c r="AI308" s="132">
        <f t="shared" si="98"/>
        <v>419096</v>
      </c>
      <c r="AJ308" s="132">
        <f t="shared" si="99"/>
        <v>417857</v>
      </c>
      <c r="AK308" s="133">
        <f t="shared" si="100"/>
        <v>1239</v>
      </c>
      <c r="AL308" s="132"/>
      <c r="AM308" s="133"/>
      <c r="AN308" s="246">
        <v>44841</v>
      </c>
      <c r="AO308" s="137"/>
      <c r="AP308" s="97"/>
      <c r="AQ308" s="97"/>
      <c r="AR308" s="97"/>
      <c r="AS308" s="97"/>
      <c r="AT308" s="97"/>
      <c r="AU308" s="97"/>
      <c r="AV308" s="97"/>
      <c r="AW308" s="97"/>
      <c r="AX308" s="97"/>
      <c r="AY308" s="97"/>
      <c r="AZ308" s="97"/>
      <c r="BA308" s="97"/>
      <c r="BB308" s="97"/>
      <c r="BC308" s="97"/>
      <c r="BD308" s="97"/>
      <c r="BE308" s="97"/>
    </row>
    <row r="309" s="115" customFormat="1" customHeight="1" spans="1:57">
      <c r="A309" s="115" t="s">
        <v>4509</v>
      </c>
      <c r="B309" s="111" t="s">
        <v>4510</v>
      </c>
      <c r="C309" s="554" t="s">
        <v>4511</v>
      </c>
      <c r="D309" s="121" t="s">
        <v>4512</v>
      </c>
      <c r="E309" s="266">
        <v>13526535688</v>
      </c>
      <c r="F309" s="267">
        <v>1</v>
      </c>
      <c r="G309" s="268">
        <v>1740</v>
      </c>
      <c r="H309" s="268">
        <v>15.75</v>
      </c>
      <c r="I309" s="274" t="s">
        <v>2657</v>
      </c>
      <c r="J309" s="113" t="s">
        <v>4513</v>
      </c>
      <c r="K309" s="266">
        <v>15.64</v>
      </c>
      <c r="L309" s="266" t="s">
        <v>4514</v>
      </c>
      <c r="M309" s="275" t="s">
        <v>4515</v>
      </c>
      <c r="N309" s="113" t="s">
        <v>56</v>
      </c>
      <c r="O309" s="113"/>
      <c r="P309" s="113"/>
      <c r="Q309" s="113">
        <v>46327.49</v>
      </c>
      <c r="R309" s="113">
        <v>729658</v>
      </c>
      <c r="S309" s="280">
        <v>729658</v>
      </c>
      <c r="T309" s="281">
        <f>R309-S309</f>
        <v>0</v>
      </c>
      <c r="U309" s="280"/>
      <c r="V309" s="280">
        <v>1023</v>
      </c>
      <c r="W309" s="280">
        <v>550</v>
      </c>
      <c r="X309" s="280"/>
      <c r="Y309" s="113" t="s">
        <v>2669</v>
      </c>
      <c r="Z309" s="113" t="s">
        <v>48</v>
      </c>
      <c r="AA309" s="275">
        <v>44191</v>
      </c>
      <c r="AB309" s="113"/>
      <c r="AC309" s="113"/>
      <c r="AD309" s="113"/>
      <c r="AE309" s="133"/>
      <c r="AG309" s="133"/>
      <c r="AH309" s="133"/>
      <c r="AI309" s="132">
        <f t="shared" si="98"/>
        <v>731231</v>
      </c>
      <c r="AJ309" s="132">
        <f t="shared" si="99"/>
        <v>731231</v>
      </c>
      <c r="AK309" s="133">
        <f t="shared" si="100"/>
        <v>0</v>
      </c>
      <c r="AL309" s="132"/>
      <c r="AM309" s="133"/>
      <c r="AN309" s="246">
        <v>44841</v>
      </c>
      <c r="AO309" s="137"/>
      <c r="AP309" s="97"/>
      <c r="AQ309" s="97"/>
      <c r="AR309" s="97"/>
      <c r="AS309" s="97"/>
      <c r="AT309" s="97"/>
      <c r="AU309" s="97"/>
      <c r="AV309" s="97"/>
      <c r="AW309" s="97"/>
      <c r="AX309" s="97"/>
      <c r="AY309" s="97"/>
      <c r="AZ309" s="97"/>
      <c r="BA309" s="97"/>
      <c r="BB309" s="97"/>
      <c r="BC309" s="97"/>
      <c r="BD309" s="97"/>
      <c r="BE309" s="97"/>
    </row>
    <row r="310" s="115" customFormat="1" customHeight="1" spans="1:57">
      <c r="A310" s="115" t="s">
        <v>4516</v>
      </c>
      <c r="B310" s="111" t="s">
        <v>4517</v>
      </c>
      <c r="C310" s="554" t="s">
        <v>4518</v>
      </c>
      <c r="D310" s="121" t="s">
        <v>4519</v>
      </c>
      <c r="E310" s="266">
        <v>13733864115</v>
      </c>
      <c r="F310" s="267">
        <v>3</v>
      </c>
      <c r="G310" s="268">
        <v>3945</v>
      </c>
      <c r="H310" s="268">
        <v>19.47</v>
      </c>
      <c r="I310" s="274" t="s">
        <v>2665</v>
      </c>
      <c r="J310" s="113" t="s">
        <v>4520</v>
      </c>
      <c r="K310" s="266">
        <v>19.63</v>
      </c>
      <c r="L310" s="266" t="s">
        <v>2711</v>
      </c>
      <c r="M310" s="275" t="s">
        <v>2869</v>
      </c>
      <c r="N310" s="113" t="s">
        <v>66</v>
      </c>
      <c r="O310" s="113"/>
      <c r="P310" s="113"/>
      <c r="Q310" s="113">
        <v>22759.6535914417</v>
      </c>
      <c r="R310" s="113">
        <v>443130</v>
      </c>
      <c r="S310" s="280">
        <v>223130</v>
      </c>
      <c r="T310" s="281"/>
      <c r="U310" s="280">
        <v>220000</v>
      </c>
      <c r="V310" s="280">
        <v>1265</v>
      </c>
      <c r="W310" s="280">
        <v>550</v>
      </c>
      <c r="X310" s="280">
        <v>1827</v>
      </c>
      <c r="Y310" s="113" t="s">
        <v>2669</v>
      </c>
      <c r="Z310" s="113" t="s">
        <v>48</v>
      </c>
      <c r="AA310" s="275">
        <v>44022</v>
      </c>
      <c r="AB310" s="113"/>
      <c r="AC310" s="113">
        <v>1242</v>
      </c>
      <c r="AD310" s="113"/>
      <c r="AE310" s="133"/>
      <c r="AG310" s="133"/>
      <c r="AH310" s="133"/>
      <c r="AI310" s="132">
        <f t="shared" si="98"/>
        <v>448014</v>
      </c>
      <c r="AJ310" s="132">
        <f t="shared" si="99"/>
        <v>446772</v>
      </c>
      <c r="AK310" s="133">
        <f t="shared" si="100"/>
        <v>1242</v>
      </c>
      <c r="AL310" s="132"/>
      <c r="AM310" s="133"/>
      <c r="AN310" s="246">
        <v>44841</v>
      </c>
      <c r="AO310" s="137"/>
      <c r="AP310" s="97"/>
      <c r="AQ310" s="97"/>
      <c r="AR310" s="97"/>
      <c r="AS310" s="97"/>
      <c r="AT310" s="97"/>
      <c r="AU310" s="97"/>
      <c r="AV310" s="97"/>
      <c r="AW310" s="97"/>
      <c r="AX310" s="97"/>
      <c r="AY310" s="97"/>
      <c r="AZ310" s="97"/>
      <c r="BA310" s="97"/>
      <c r="BB310" s="97"/>
      <c r="BC310" s="97"/>
      <c r="BD310" s="97"/>
      <c r="BE310" s="97"/>
    </row>
    <row r="311" s="115" customFormat="1" customHeight="1" spans="1:57">
      <c r="A311" s="115" t="s">
        <v>4521</v>
      </c>
      <c r="B311" s="111" t="s">
        <v>4522</v>
      </c>
      <c r="C311" s="554" t="s">
        <v>4523</v>
      </c>
      <c r="D311" s="121" t="s">
        <v>4524</v>
      </c>
      <c r="E311" s="266">
        <v>15937147068</v>
      </c>
      <c r="F311" s="267">
        <v>1</v>
      </c>
      <c r="G311" s="268">
        <v>1772</v>
      </c>
      <c r="H311" s="268">
        <v>15.32</v>
      </c>
      <c r="I311" s="274" t="s">
        <v>2657</v>
      </c>
      <c r="J311" s="113" t="s">
        <v>4525</v>
      </c>
      <c r="K311" s="266">
        <v>16.01</v>
      </c>
      <c r="L311" s="266" t="s">
        <v>3634</v>
      </c>
      <c r="M311" s="275" t="s">
        <v>2763</v>
      </c>
      <c r="N311" s="113" t="s">
        <v>66</v>
      </c>
      <c r="O311" s="113"/>
      <c r="P311" s="113"/>
      <c r="Q311" s="113">
        <v>47782.64</v>
      </c>
      <c r="R311" s="113">
        <v>732030</v>
      </c>
      <c r="S311" s="280">
        <v>462030</v>
      </c>
      <c r="T311" s="281"/>
      <c r="U311" s="280">
        <v>270000</v>
      </c>
      <c r="V311" s="280">
        <v>995</v>
      </c>
      <c r="W311" s="280">
        <v>550</v>
      </c>
      <c r="X311" s="280"/>
      <c r="Y311" s="113" t="s">
        <v>2669</v>
      </c>
      <c r="Z311" s="113" t="s">
        <v>48</v>
      </c>
      <c r="AA311" s="275">
        <v>44020</v>
      </c>
      <c r="AB311" s="113"/>
      <c r="AC311" s="113">
        <v>1247</v>
      </c>
      <c r="AD311" s="113"/>
      <c r="AE311" s="133"/>
      <c r="AG311" s="133"/>
      <c r="AH311" s="133"/>
      <c r="AI311" s="132">
        <f t="shared" si="98"/>
        <v>734822</v>
      </c>
      <c r="AJ311" s="132">
        <f t="shared" si="99"/>
        <v>733575</v>
      </c>
      <c r="AK311" s="133">
        <f t="shared" si="100"/>
        <v>1247</v>
      </c>
      <c r="AL311" s="132"/>
      <c r="AM311" s="133"/>
      <c r="AN311" s="246">
        <v>44841</v>
      </c>
      <c r="AO311" s="137"/>
      <c r="AP311" s="97"/>
      <c r="AQ311" s="97"/>
      <c r="AR311" s="97"/>
      <c r="AS311" s="97"/>
      <c r="AT311" s="97"/>
      <c r="AU311" s="97"/>
      <c r="AV311" s="97"/>
      <c r="AW311" s="97"/>
      <c r="AX311" s="97"/>
      <c r="AY311" s="97"/>
      <c r="AZ311" s="97"/>
      <c r="BA311" s="97"/>
      <c r="BB311" s="97"/>
      <c r="BC311" s="97"/>
      <c r="BD311" s="97"/>
      <c r="BE311" s="97"/>
    </row>
    <row r="312" s="115" customFormat="1" customHeight="1" spans="1:57">
      <c r="A312" s="115" t="s">
        <v>4526</v>
      </c>
      <c r="B312" s="111" t="s">
        <v>4527</v>
      </c>
      <c r="C312" s="554" t="s">
        <v>4528</v>
      </c>
      <c r="D312" s="121" t="s">
        <v>4529</v>
      </c>
      <c r="E312" s="266">
        <v>18538209858</v>
      </c>
      <c r="F312" s="267">
        <v>4</v>
      </c>
      <c r="G312" s="268">
        <v>4147</v>
      </c>
      <c r="H312" s="268">
        <v>36.5</v>
      </c>
      <c r="I312" s="274" t="s">
        <v>2665</v>
      </c>
      <c r="J312" s="113" t="s">
        <v>4530</v>
      </c>
      <c r="K312" s="266">
        <v>47.63</v>
      </c>
      <c r="L312" s="266" t="s">
        <v>2793</v>
      </c>
      <c r="M312" s="275" t="s">
        <v>3766</v>
      </c>
      <c r="N312" s="113" t="s">
        <v>56</v>
      </c>
      <c r="O312" s="113"/>
      <c r="P312" s="113"/>
      <c r="Q312" s="113">
        <v>19693.6174679824</v>
      </c>
      <c r="R312" s="113">
        <v>718817</v>
      </c>
      <c r="S312" s="280">
        <v>718817</v>
      </c>
      <c r="T312" s="281">
        <f>R312-S312</f>
        <v>0</v>
      </c>
      <c r="U312" s="280"/>
      <c r="V312" s="280">
        <v>2372</v>
      </c>
      <c r="W312" s="280">
        <v>550</v>
      </c>
      <c r="X312" s="280"/>
      <c r="Y312" s="113" t="s">
        <v>2669</v>
      </c>
      <c r="Z312" s="113" t="s">
        <v>48</v>
      </c>
      <c r="AA312" s="275">
        <v>44021</v>
      </c>
      <c r="AB312" s="113"/>
      <c r="AC312" s="113"/>
      <c r="AD312" s="113"/>
      <c r="AE312" s="133"/>
      <c r="AG312" s="133"/>
      <c r="AH312" s="133"/>
      <c r="AI312" s="132">
        <f t="shared" ref="AI312:AI320" si="101">S312+U312+V312+W312+X312+AC312+AD312+AE312</f>
        <v>721739</v>
      </c>
      <c r="AJ312" s="132">
        <f t="shared" ref="AJ312:AJ320" si="102">S312+U312+V312+W312+X312</f>
        <v>721739</v>
      </c>
      <c r="AK312" s="133">
        <f t="shared" ref="AK312:AK320" si="103">AI312-AJ312</f>
        <v>0</v>
      </c>
      <c r="AL312" s="132"/>
      <c r="AM312" s="133"/>
      <c r="AN312" s="246">
        <v>44841</v>
      </c>
      <c r="AO312" s="137"/>
      <c r="AP312" s="97"/>
      <c r="AQ312" s="97"/>
      <c r="AR312" s="97"/>
      <c r="AS312" s="97"/>
      <c r="AT312" s="97"/>
      <c r="AU312" s="97"/>
      <c r="AV312" s="97"/>
      <c r="AW312" s="97"/>
      <c r="AX312" s="97"/>
      <c r="AY312" s="97"/>
      <c r="AZ312" s="97"/>
      <c r="BA312" s="97"/>
      <c r="BB312" s="97"/>
      <c r="BC312" s="97"/>
      <c r="BD312" s="97"/>
      <c r="BE312" s="97"/>
    </row>
    <row r="313" s="115" customFormat="1" customHeight="1" spans="1:57">
      <c r="A313" s="115" t="s">
        <v>4531</v>
      </c>
      <c r="B313" s="111" t="s">
        <v>4532</v>
      </c>
      <c r="C313" s="554" t="s">
        <v>4533</v>
      </c>
      <c r="D313" s="121" t="s">
        <v>4534</v>
      </c>
      <c r="E313" s="266">
        <v>17788160086</v>
      </c>
      <c r="F313" s="267">
        <v>4</v>
      </c>
      <c r="G313" s="268">
        <v>4189</v>
      </c>
      <c r="H313" s="268">
        <v>15.14</v>
      </c>
      <c r="I313" s="274" t="s">
        <v>2665</v>
      </c>
      <c r="J313" s="113"/>
      <c r="K313" s="266"/>
      <c r="L313" s="266" t="s">
        <v>3766</v>
      </c>
      <c r="M313" s="275" t="s">
        <v>2928</v>
      </c>
      <c r="N313" s="113" t="s">
        <v>56</v>
      </c>
      <c r="O313" s="113"/>
      <c r="P313" s="113"/>
      <c r="Q313" s="113">
        <v>21496.37</v>
      </c>
      <c r="R313" s="113">
        <v>325455</v>
      </c>
      <c r="S313" s="280">
        <v>325455</v>
      </c>
      <c r="T313" s="281">
        <f>R313-S313</f>
        <v>0</v>
      </c>
      <c r="U313" s="280"/>
      <c r="V313" s="280">
        <v>984</v>
      </c>
      <c r="W313" s="280">
        <v>550</v>
      </c>
      <c r="X313" s="280"/>
      <c r="Y313" s="113" t="s">
        <v>2669</v>
      </c>
      <c r="Z313" s="113" t="s">
        <v>48</v>
      </c>
      <c r="AA313" s="275">
        <v>44021</v>
      </c>
      <c r="AB313" s="113" t="s">
        <v>4535</v>
      </c>
      <c r="AC313" s="113"/>
      <c r="AD313" s="113"/>
      <c r="AE313" s="133"/>
      <c r="AG313" s="133"/>
      <c r="AH313" s="133"/>
      <c r="AI313" s="132">
        <f t="shared" si="101"/>
        <v>326989</v>
      </c>
      <c r="AJ313" s="132">
        <f t="shared" si="102"/>
        <v>326989</v>
      </c>
      <c r="AK313" s="133">
        <f t="shared" si="103"/>
        <v>0</v>
      </c>
      <c r="AL313" s="132"/>
      <c r="AM313" s="133"/>
      <c r="AN313" s="246">
        <v>44841</v>
      </c>
      <c r="AO313" s="137"/>
      <c r="AP313" s="97"/>
      <c r="AQ313" s="97"/>
      <c r="AR313" s="97"/>
      <c r="AS313" s="97"/>
      <c r="AT313" s="97"/>
      <c r="AU313" s="97"/>
      <c r="AV313" s="97"/>
      <c r="AW313" s="97"/>
      <c r="AX313" s="97"/>
      <c r="AY313" s="97"/>
      <c r="AZ313" s="97"/>
      <c r="BA313" s="97"/>
      <c r="BB313" s="97"/>
      <c r="BC313" s="97"/>
      <c r="BD313" s="97"/>
      <c r="BE313" s="97"/>
    </row>
    <row r="314" s="115" customFormat="1" customHeight="1" spans="1:57">
      <c r="A314" s="115" t="s">
        <v>4536</v>
      </c>
      <c r="B314" s="111" t="s">
        <v>4537</v>
      </c>
      <c r="C314" s="111" t="s">
        <v>4538</v>
      </c>
      <c r="D314" s="121" t="s">
        <v>4539</v>
      </c>
      <c r="E314" s="266">
        <v>13526082102</v>
      </c>
      <c r="F314" s="267">
        <v>3</v>
      </c>
      <c r="G314" s="268">
        <v>3234</v>
      </c>
      <c r="H314" s="268">
        <v>14.5</v>
      </c>
      <c r="I314" s="274" t="s">
        <v>2657</v>
      </c>
      <c r="J314" s="113" t="s">
        <v>4540</v>
      </c>
      <c r="K314" s="266">
        <v>13.55</v>
      </c>
      <c r="L314" s="266" t="s">
        <v>4541</v>
      </c>
      <c r="M314" s="275" t="s">
        <v>4542</v>
      </c>
      <c r="N314" s="113" t="s">
        <v>66</v>
      </c>
      <c r="O314" s="113"/>
      <c r="P314" s="113"/>
      <c r="Q314" s="113">
        <v>32085.09</v>
      </c>
      <c r="R314" s="113">
        <v>465234</v>
      </c>
      <c r="S314" s="280">
        <v>235234</v>
      </c>
      <c r="T314" s="281">
        <f>R314-S314</f>
        <v>230000</v>
      </c>
      <c r="U314" s="280"/>
      <c r="V314" s="280">
        <v>942</v>
      </c>
      <c r="W314" s="280">
        <v>550</v>
      </c>
      <c r="X314" s="280"/>
      <c r="Y314" s="113"/>
      <c r="Z314" s="113"/>
      <c r="AA314" s="275"/>
      <c r="AB314" s="113"/>
      <c r="AC314" s="113"/>
      <c r="AD314" s="113"/>
      <c r="AE314" s="133"/>
      <c r="AG314" s="133"/>
      <c r="AH314" s="133"/>
      <c r="AI314" s="132">
        <f t="shared" si="101"/>
        <v>236726</v>
      </c>
      <c r="AJ314" s="132">
        <f t="shared" si="102"/>
        <v>236726</v>
      </c>
      <c r="AK314" s="133">
        <f t="shared" si="103"/>
        <v>0</v>
      </c>
      <c r="AL314" s="132"/>
      <c r="AM314" s="133"/>
      <c r="AN314" s="246">
        <v>44841</v>
      </c>
      <c r="AO314" s="137"/>
      <c r="AP314" s="97"/>
      <c r="AQ314" s="97"/>
      <c r="AR314" s="97"/>
      <c r="AS314" s="97"/>
      <c r="AT314" s="97"/>
      <c r="AU314" s="97"/>
      <c r="AV314" s="97"/>
      <c r="AW314" s="97"/>
      <c r="AX314" s="97"/>
      <c r="AY314" s="97"/>
      <c r="AZ314" s="97"/>
      <c r="BA314" s="97"/>
      <c r="BB314" s="97"/>
      <c r="BC314" s="97"/>
      <c r="BD314" s="97"/>
      <c r="BE314" s="97"/>
    </row>
    <row r="315" s="115" customFormat="1" customHeight="1" spans="1:57">
      <c r="A315" s="115" t="s">
        <v>4543</v>
      </c>
      <c r="B315" s="111" t="s">
        <v>4544</v>
      </c>
      <c r="C315" s="111" t="s">
        <v>4545</v>
      </c>
      <c r="D315" s="121" t="s">
        <v>4546</v>
      </c>
      <c r="E315" s="266">
        <v>15136162141</v>
      </c>
      <c r="F315" s="267">
        <v>3</v>
      </c>
      <c r="G315" s="268">
        <v>3587</v>
      </c>
      <c r="H315" s="268">
        <v>17.82</v>
      </c>
      <c r="I315" s="274" t="s">
        <v>2657</v>
      </c>
      <c r="J315" s="113" t="s">
        <v>4547</v>
      </c>
      <c r="K315" s="266">
        <v>16.78</v>
      </c>
      <c r="L315" s="266" t="s">
        <v>3073</v>
      </c>
      <c r="M315" s="275" t="s">
        <v>3515</v>
      </c>
      <c r="N315" s="113" t="s">
        <v>56</v>
      </c>
      <c r="O315" s="113"/>
      <c r="P315" s="113"/>
      <c r="Q315" s="113">
        <v>31776.58</v>
      </c>
      <c r="R315" s="113">
        <v>566259</v>
      </c>
      <c r="S315" s="280">
        <v>566259</v>
      </c>
      <c r="T315" s="281">
        <f>R315-S315</f>
        <v>0</v>
      </c>
      <c r="U315" s="280"/>
      <c r="V315" s="280">
        <v>1158</v>
      </c>
      <c r="W315" s="280">
        <v>550</v>
      </c>
      <c r="X315" s="280"/>
      <c r="Y315" s="113" t="s">
        <v>2669</v>
      </c>
      <c r="Z315" s="113" t="s">
        <v>48</v>
      </c>
      <c r="AA315" s="275">
        <v>44019</v>
      </c>
      <c r="AB315" s="113" t="s">
        <v>4548</v>
      </c>
      <c r="AC315" s="113"/>
      <c r="AD315" s="113"/>
      <c r="AE315" s="133"/>
      <c r="AG315" s="133"/>
      <c r="AH315" s="133"/>
      <c r="AI315" s="132">
        <f t="shared" si="101"/>
        <v>567967</v>
      </c>
      <c r="AJ315" s="132">
        <f t="shared" si="102"/>
        <v>567967</v>
      </c>
      <c r="AK315" s="133">
        <f t="shared" si="103"/>
        <v>0</v>
      </c>
      <c r="AL315" s="132"/>
      <c r="AM315" s="133"/>
      <c r="AN315" s="246">
        <v>44841</v>
      </c>
      <c r="AO315" s="137"/>
      <c r="AP315" s="97"/>
      <c r="AQ315" s="97"/>
      <c r="AR315" s="97"/>
      <c r="AS315" s="97"/>
      <c r="AT315" s="97"/>
      <c r="AU315" s="97"/>
      <c r="AV315" s="97"/>
      <c r="AW315" s="97"/>
      <c r="AX315" s="97"/>
      <c r="AY315" s="97"/>
      <c r="AZ315" s="97"/>
      <c r="BA315" s="97"/>
      <c r="BB315" s="97"/>
      <c r="BC315" s="97"/>
      <c r="BD315" s="97"/>
      <c r="BE315" s="97"/>
    </row>
    <row r="316" s="115" customFormat="1" customHeight="1" spans="1:57">
      <c r="A316" s="115" t="s">
        <v>4549</v>
      </c>
      <c r="B316" s="111" t="s">
        <v>4550</v>
      </c>
      <c r="C316" s="111" t="s">
        <v>4551</v>
      </c>
      <c r="D316" s="121" t="s">
        <v>4552</v>
      </c>
      <c r="E316" s="266">
        <v>13783676138</v>
      </c>
      <c r="F316" s="267">
        <v>3</v>
      </c>
      <c r="G316" s="268">
        <v>3705</v>
      </c>
      <c r="H316" s="268">
        <v>10.02</v>
      </c>
      <c r="I316" s="274" t="s">
        <v>2657</v>
      </c>
      <c r="J316" s="113" t="s">
        <v>4553</v>
      </c>
      <c r="K316" s="266">
        <v>11.15</v>
      </c>
      <c r="L316" s="266" t="s">
        <v>2746</v>
      </c>
      <c r="M316" s="275" t="s">
        <v>2746</v>
      </c>
      <c r="N316" s="113" t="s">
        <v>66</v>
      </c>
      <c r="O316" s="113"/>
      <c r="P316" s="113"/>
      <c r="Q316" s="113">
        <v>32287</v>
      </c>
      <c r="R316" s="113">
        <v>360000</v>
      </c>
      <c r="S316" s="280">
        <v>180000</v>
      </c>
      <c r="T316" s="281">
        <f>R316-S316</f>
        <v>180000</v>
      </c>
      <c r="U316" s="280"/>
      <c r="V316" s="280"/>
      <c r="W316" s="280"/>
      <c r="X316" s="280"/>
      <c r="Y316" s="113"/>
      <c r="Z316" s="113"/>
      <c r="AA316" s="275"/>
      <c r="AB316" s="113"/>
      <c r="AC316" s="113"/>
      <c r="AD316" s="113"/>
      <c r="AE316" s="133"/>
      <c r="AG316" s="133"/>
      <c r="AH316" s="133"/>
      <c r="AI316" s="132">
        <f t="shared" si="101"/>
        <v>180000</v>
      </c>
      <c r="AJ316" s="132">
        <f t="shared" si="102"/>
        <v>180000</v>
      </c>
      <c r="AK316" s="133">
        <f t="shared" si="103"/>
        <v>0</v>
      </c>
      <c r="AL316" s="132"/>
      <c r="AM316" s="133"/>
      <c r="AN316" s="246">
        <v>44841</v>
      </c>
      <c r="AO316" s="137"/>
      <c r="AP316" s="97"/>
      <c r="AQ316" s="97"/>
      <c r="AR316" s="97"/>
      <c r="AS316" s="97"/>
      <c r="AT316" s="97"/>
      <c r="AU316" s="97"/>
      <c r="AV316" s="97"/>
      <c r="AW316" s="97"/>
      <c r="AX316" s="97"/>
      <c r="AY316" s="97"/>
      <c r="AZ316" s="97"/>
      <c r="BA316" s="97"/>
      <c r="BB316" s="97"/>
      <c r="BC316" s="97"/>
      <c r="BD316" s="97"/>
      <c r="BE316" s="97"/>
    </row>
    <row r="317" s="115" customFormat="1" customHeight="1" spans="1:57">
      <c r="A317" s="115" t="s">
        <v>4554</v>
      </c>
      <c r="B317" s="111" t="s">
        <v>4555</v>
      </c>
      <c r="C317" s="111" t="s">
        <v>4556</v>
      </c>
      <c r="D317" s="121" t="s">
        <v>4557</v>
      </c>
      <c r="E317" s="266">
        <v>15038070935</v>
      </c>
      <c r="F317" s="267">
        <v>3</v>
      </c>
      <c r="G317" s="268">
        <v>3843</v>
      </c>
      <c r="H317" s="268">
        <v>13.11</v>
      </c>
      <c r="I317" s="274" t="s">
        <v>2657</v>
      </c>
      <c r="J317" s="113" t="s">
        <v>4558</v>
      </c>
      <c r="K317" s="266">
        <v>11.04</v>
      </c>
      <c r="L317" s="266" t="s">
        <v>4559</v>
      </c>
      <c r="M317" s="275" t="s">
        <v>2699</v>
      </c>
      <c r="N317" s="113" t="s">
        <v>66</v>
      </c>
      <c r="O317" s="113"/>
      <c r="P317" s="113"/>
      <c r="Q317" s="113">
        <v>32625.91</v>
      </c>
      <c r="R317" s="113">
        <v>427726</v>
      </c>
      <c r="S317" s="280">
        <v>227726</v>
      </c>
      <c r="T317" s="281" t="s">
        <v>47</v>
      </c>
      <c r="U317" s="280">
        <v>200000</v>
      </c>
      <c r="V317" s="280">
        <v>852</v>
      </c>
      <c r="W317" s="280">
        <v>560</v>
      </c>
      <c r="X317" s="280"/>
      <c r="Y317" s="113" t="s">
        <v>2669</v>
      </c>
      <c r="Z317" s="113" t="s">
        <v>48</v>
      </c>
      <c r="AA317" s="275">
        <v>44066</v>
      </c>
      <c r="AB317" s="113" t="s">
        <v>4560</v>
      </c>
      <c r="AC317" s="113">
        <v>1240</v>
      </c>
      <c r="AD317" s="113"/>
      <c r="AE317" s="133"/>
      <c r="AG317" s="133"/>
      <c r="AH317" s="133"/>
      <c r="AI317" s="132">
        <f t="shared" si="101"/>
        <v>430378</v>
      </c>
      <c r="AJ317" s="132">
        <f t="shared" si="102"/>
        <v>429138</v>
      </c>
      <c r="AK317" s="133">
        <f t="shared" si="103"/>
        <v>1240</v>
      </c>
      <c r="AL317" s="132"/>
      <c r="AM317" s="133"/>
      <c r="AN317" s="246">
        <v>44841</v>
      </c>
      <c r="AO317" s="137"/>
      <c r="AP317" s="97"/>
      <c r="AQ317" s="97"/>
      <c r="AR317" s="97"/>
      <c r="AS317" s="97"/>
      <c r="AT317" s="97"/>
      <c r="AU317" s="97"/>
      <c r="AV317" s="97"/>
      <c r="AW317" s="97"/>
      <c r="AX317" s="97"/>
      <c r="AY317" s="97"/>
      <c r="AZ317" s="97"/>
      <c r="BA317" s="97"/>
      <c r="BB317" s="97"/>
      <c r="BC317" s="97"/>
      <c r="BD317" s="97"/>
      <c r="BE317" s="97"/>
    </row>
    <row r="318" s="115" customFormat="1" customHeight="1" spans="1:57">
      <c r="A318" s="115" t="s">
        <v>4561</v>
      </c>
      <c r="B318" s="111" t="s">
        <v>4562</v>
      </c>
      <c r="C318" s="554" t="s">
        <v>4563</v>
      </c>
      <c r="D318" s="121" t="s">
        <v>4564</v>
      </c>
      <c r="E318" s="266">
        <v>13523878884</v>
      </c>
      <c r="F318" s="267">
        <v>1</v>
      </c>
      <c r="G318" s="268">
        <v>1729</v>
      </c>
      <c r="H318" s="268">
        <v>18.85</v>
      </c>
      <c r="I318" s="274" t="s">
        <v>2657</v>
      </c>
      <c r="J318" s="113" t="s">
        <v>4565</v>
      </c>
      <c r="K318" s="266">
        <v>19.55</v>
      </c>
      <c r="L318" s="266" t="s">
        <v>4566</v>
      </c>
      <c r="M318" s="275" t="s">
        <v>4567</v>
      </c>
      <c r="N318" s="113" t="s">
        <v>66</v>
      </c>
      <c r="O318" s="113"/>
      <c r="P318" s="113"/>
      <c r="Q318" s="113">
        <v>46035.81</v>
      </c>
      <c r="R318" s="113">
        <v>900000</v>
      </c>
      <c r="S318" s="280">
        <v>500000</v>
      </c>
      <c r="T318" s="281">
        <f>R318-S318</f>
        <v>400000</v>
      </c>
      <c r="U318" s="280"/>
      <c r="V318" s="280"/>
      <c r="W318" s="280"/>
      <c r="X318" s="280"/>
      <c r="Y318" s="113"/>
      <c r="Z318" s="113"/>
      <c r="AA318" s="275"/>
      <c r="AB318" s="113"/>
      <c r="AC318" s="113">
        <v>1256</v>
      </c>
      <c r="AD318" s="113"/>
      <c r="AE318" s="133"/>
      <c r="AG318" s="133"/>
      <c r="AH318" s="133"/>
      <c r="AI318" s="132">
        <f t="shared" si="101"/>
        <v>501256</v>
      </c>
      <c r="AJ318" s="132">
        <f t="shared" si="102"/>
        <v>500000</v>
      </c>
      <c r="AK318" s="133">
        <f t="shared" si="103"/>
        <v>1256</v>
      </c>
      <c r="AL318" s="132"/>
      <c r="AM318" s="133"/>
      <c r="AN318" s="246">
        <v>44841</v>
      </c>
      <c r="AO318" s="137"/>
      <c r="AP318" s="97"/>
      <c r="AQ318" s="97"/>
      <c r="AR318" s="97"/>
      <c r="AS318" s="97"/>
      <c r="AT318" s="97"/>
      <c r="AU318" s="97"/>
      <c r="AV318" s="97"/>
      <c r="AW318" s="97"/>
      <c r="AX318" s="97"/>
      <c r="AY318" s="97"/>
      <c r="AZ318" s="97"/>
      <c r="BA318" s="97"/>
      <c r="BB318" s="97"/>
      <c r="BC318" s="97"/>
      <c r="BD318" s="97"/>
      <c r="BE318" s="97"/>
    </row>
    <row r="319" s="115" customFormat="1" customHeight="1" spans="1:57">
      <c r="A319" s="115" t="s">
        <v>4568</v>
      </c>
      <c r="B319" s="111" t="s">
        <v>3266</v>
      </c>
      <c r="C319" s="111" t="s">
        <v>4569</v>
      </c>
      <c r="D319" s="121"/>
      <c r="E319" s="266" t="s">
        <v>4570</v>
      </c>
      <c r="F319" s="267">
        <v>3</v>
      </c>
      <c r="G319" s="268">
        <v>3241</v>
      </c>
      <c r="H319" s="268">
        <v>13.34</v>
      </c>
      <c r="I319" s="274" t="s">
        <v>2665</v>
      </c>
      <c r="J319" s="113" t="s">
        <v>4571</v>
      </c>
      <c r="K319" s="266">
        <v>18</v>
      </c>
      <c r="L319" s="266" t="s">
        <v>3849</v>
      </c>
      <c r="M319" s="275" t="s">
        <v>3401</v>
      </c>
      <c r="N319" s="113" t="s">
        <v>56</v>
      </c>
      <c r="O319" s="113"/>
      <c r="P319" s="113"/>
      <c r="Q319" s="113">
        <v>29139.39</v>
      </c>
      <c r="R319" s="113">
        <v>524509</v>
      </c>
      <c r="S319" s="280">
        <v>524509</v>
      </c>
      <c r="T319" s="281">
        <f>R319-S319</f>
        <v>0</v>
      </c>
      <c r="U319" s="280"/>
      <c r="V319" s="280"/>
      <c r="W319" s="280"/>
      <c r="X319" s="280"/>
      <c r="Y319" s="113"/>
      <c r="Z319" s="113"/>
      <c r="AA319" s="275"/>
      <c r="AB319" s="113"/>
      <c r="AC319" s="113"/>
      <c r="AD319" s="113"/>
      <c r="AE319" s="133"/>
      <c r="AG319" s="133"/>
      <c r="AH319" s="133"/>
      <c r="AI319" s="132">
        <f t="shared" si="101"/>
        <v>524509</v>
      </c>
      <c r="AJ319" s="132">
        <f t="shared" si="102"/>
        <v>524509</v>
      </c>
      <c r="AK319" s="133">
        <f t="shared" si="103"/>
        <v>0</v>
      </c>
      <c r="AL319" s="132"/>
      <c r="AM319" s="133"/>
      <c r="AN319" s="246">
        <v>44841</v>
      </c>
      <c r="AO319" s="137"/>
      <c r="AP319" s="97"/>
      <c r="AQ319" s="97"/>
      <c r="AR319" s="97"/>
      <c r="AS319" s="97"/>
      <c r="AT319" s="97"/>
      <c r="AU319" s="97"/>
      <c r="AV319" s="97"/>
      <c r="AW319" s="97"/>
      <c r="AX319" s="97"/>
      <c r="AY319" s="97"/>
      <c r="AZ319" s="97"/>
      <c r="BA319" s="97"/>
      <c r="BB319" s="97"/>
      <c r="BC319" s="97"/>
      <c r="BD319" s="97"/>
      <c r="BE319" s="97"/>
    </row>
    <row r="320" s="115" customFormat="1" customHeight="1" spans="1:57">
      <c r="A320" s="115" t="s">
        <v>4572</v>
      </c>
      <c r="B320" s="111" t="s">
        <v>4573</v>
      </c>
      <c r="C320" s="554" t="s">
        <v>4574</v>
      </c>
      <c r="D320" s="121" t="s">
        <v>4575</v>
      </c>
      <c r="E320" s="266">
        <v>18736012586</v>
      </c>
      <c r="F320" s="267">
        <v>1</v>
      </c>
      <c r="G320" s="268">
        <v>1751</v>
      </c>
      <c r="H320" s="268">
        <v>16.5</v>
      </c>
      <c r="I320" s="274" t="s">
        <v>2657</v>
      </c>
      <c r="J320" s="113" t="s">
        <v>4576</v>
      </c>
      <c r="K320" s="266">
        <v>16.93</v>
      </c>
      <c r="L320" s="266" t="s">
        <v>2747</v>
      </c>
      <c r="M320" s="275" t="s">
        <v>4289</v>
      </c>
      <c r="N320" s="113" t="s">
        <v>66</v>
      </c>
      <c r="O320" s="113"/>
      <c r="P320" s="113"/>
      <c r="Q320" s="113">
        <v>47997.7</v>
      </c>
      <c r="R320" s="113">
        <v>791962</v>
      </c>
      <c r="S320" s="280">
        <v>421962</v>
      </c>
      <c r="T320" s="281"/>
      <c r="U320" s="280">
        <v>370000</v>
      </c>
      <c r="V320" s="280">
        <v>1072</v>
      </c>
      <c r="W320" s="280">
        <v>550</v>
      </c>
      <c r="X320" s="280"/>
      <c r="Y320" s="113" t="s">
        <v>2669</v>
      </c>
      <c r="Z320" s="113" t="s">
        <v>48</v>
      </c>
      <c r="AA320" s="275">
        <v>44050</v>
      </c>
      <c r="AB320" s="113"/>
      <c r="AC320" s="113"/>
      <c r="AD320" s="113"/>
      <c r="AE320" s="133"/>
      <c r="AG320" s="133"/>
      <c r="AH320" s="133"/>
      <c r="AI320" s="132">
        <f t="shared" si="101"/>
        <v>793584</v>
      </c>
      <c r="AJ320" s="132">
        <f t="shared" si="102"/>
        <v>793584</v>
      </c>
      <c r="AK320" s="133">
        <f t="shared" si="103"/>
        <v>0</v>
      </c>
      <c r="AL320" s="132"/>
      <c r="AM320" s="133"/>
      <c r="AN320" s="246">
        <v>44841</v>
      </c>
      <c r="AO320" s="137"/>
      <c r="AP320" s="97"/>
      <c r="AQ320" s="97"/>
      <c r="AR320" s="97"/>
      <c r="AS320" s="97"/>
      <c r="AT320" s="97"/>
      <c r="AU320" s="97"/>
      <c r="AV320" s="97"/>
      <c r="AW320" s="97"/>
      <c r="AX320" s="97"/>
      <c r="AY320" s="97"/>
      <c r="AZ320" s="97"/>
      <c r="BA320" s="97"/>
      <c r="BB320" s="97"/>
      <c r="BC320" s="97"/>
      <c r="BD320" s="97"/>
      <c r="BE320" s="97"/>
    </row>
    <row r="321" s="115" customFormat="1" customHeight="1" spans="1:57">
      <c r="A321" s="115" t="s">
        <v>4577</v>
      </c>
      <c r="B321" s="111" t="s">
        <v>4578</v>
      </c>
      <c r="C321" s="554" t="s">
        <v>4579</v>
      </c>
      <c r="D321" s="121" t="s">
        <v>4580</v>
      </c>
      <c r="E321" s="266">
        <v>13837486222</v>
      </c>
      <c r="F321" s="267">
        <v>1</v>
      </c>
      <c r="G321" s="268">
        <v>1785</v>
      </c>
      <c r="H321" s="268">
        <v>15.32</v>
      </c>
      <c r="I321" s="274" t="s">
        <v>2657</v>
      </c>
      <c r="J321" s="113" t="s">
        <v>4581</v>
      </c>
      <c r="K321" s="266">
        <v>16.84</v>
      </c>
      <c r="L321" s="266" t="s">
        <v>4034</v>
      </c>
      <c r="M321" s="275" t="s">
        <v>2835</v>
      </c>
      <c r="N321" s="113" t="s">
        <v>56</v>
      </c>
      <c r="O321" s="113"/>
      <c r="P321" s="113"/>
      <c r="Q321" s="113">
        <v>46734.53</v>
      </c>
      <c r="R321" s="113">
        <v>715973</v>
      </c>
      <c r="S321" s="280">
        <v>715973</v>
      </c>
      <c r="T321" s="281">
        <f t="shared" ref="T321:T338" si="104">R321-S321</f>
        <v>0</v>
      </c>
      <c r="U321" s="280"/>
      <c r="V321" s="280">
        <v>995</v>
      </c>
      <c r="W321" s="280">
        <v>550</v>
      </c>
      <c r="X321" s="280"/>
      <c r="Y321" s="113" t="s">
        <v>2669</v>
      </c>
      <c r="Z321" s="113" t="s">
        <v>48</v>
      </c>
      <c r="AA321" s="275">
        <v>44052</v>
      </c>
      <c r="AB321" s="113"/>
      <c r="AC321" s="113"/>
      <c r="AD321" s="113"/>
      <c r="AE321" s="133"/>
      <c r="AG321" s="133"/>
      <c r="AH321" s="133"/>
      <c r="AI321" s="132">
        <f t="shared" ref="AI321:AI330" si="105">S321+U321+V321+W321+X321+AC321+AD321+AE321</f>
        <v>717518</v>
      </c>
      <c r="AJ321" s="132">
        <f t="shared" ref="AJ321:AJ330" si="106">S321+U321+V321+W321+X321</f>
        <v>717518</v>
      </c>
      <c r="AK321" s="133">
        <f t="shared" ref="AK321:AK330" si="107">AI321-AJ321</f>
        <v>0</v>
      </c>
      <c r="AL321" s="132"/>
      <c r="AM321" s="133"/>
      <c r="AN321" s="246">
        <v>44841</v>
      </c>
      <c r="AO321" s="137"/>
      <c r="AP321" s="97"/>
      <c r="AQ321" s="97"/>
      <c r="AR321" s="97"/>
      <c r="AS321" s="97"/>
      <c r="AT321" s="97"/>
      <c r="AU321" s="97"/>
      <c r="AV321" s="97"/>
      <c r="AW321" s="97"/>
      <c r="AX321" s="97"/>
      <c r="AY321" s="97"/>
      <c r="AZ321" s="97"/>
      <c r="BA321" s="97"/>
      <c r="BB321" s="97"/>
      <c r="BC321" s="97"/>
      <c r="BD321" s="97"/>
      <c r="BE321" s="97"/>
    </row>
    <row r="322" s="115" customFormat="1" customHeight="1" spans="1:57">
      <c r="A322" s="115" t="s">
        <v>4582</v>
      </c>
      <c r="B322" s="111" t="s">
        <v>4583</v>
      </c>
      <c r="C322" s="111" t="s">
        <v>4584</v>
      </c>
      <c r="D322" s="121" t="s">
        <v>4585</v>
      </c>
      <c r="E322" s="266">
        <v>15036987057</v>
      </c>
      <c r="F322" s="267">
        <v>3</v>
      </c>
      <c r="G322" s="268">
        <v>3781</v>
      </c>
      <c r="H322" s="268">
        <v>15.99</v>
      </c>
      <c r="I322" s="274" t="s">
        <v>2657</v>
      </c>
      <c r="J322" s="113" t="s">
        <v>4586</v>
      </c>
      <c r="K322" s="266">
        <v>14.6</v>
      </c>
      <c r="L322" s="266" t="s">
        <v>4587</v>
      </c>
      <c r="M322" s="275" t="s">
        <v>4311</v>
      </c>
      <c r="N322" s="113" t="s">
        <v>66</v>
      </c>
      <c r="O322" s="113"/>
      <c r="P322" s="113"/>
      <c r="Q322" s="113">
        <v>31849.32</v>
      </c>
      <c r="R322" s="113">
        <v>465000</v>
      </c>
      <c r="S322" s="280">
        <v>235000</v>
      </c>
      <c r="T322" s="281">
        <f t="shared" si="104"/>
        <v>230000</v>
      </c>
      <c r="U322" s="280"/>
      <c r="V322" s="280"/>
      <c r="W322" s="280"/>
      <c r="X322" s="280"/>
      <c r="Y322" s="113"/>
      <c r="Z322" s="113"/>
      <c r="AA322" s="275"/>
      <c r="AB322" s="113"/>
      <c r="AC322" s="113"/>
      <c r="AD322" s="113"/>
      <c r="AE322" s="133"/>
      <c r="AG322" s="133"/>
      <c r="AH322" s="133"/>
      <c r="AI322" s="132">
        <f t="shared" si="105"/>
        <v>235000</v>
      </c>
      <c r="AJ322" s="132">
        <f t="shared" si="106"/>
        <v>235000</v>
      </c>
      <c r="AK322" s="133">
        <f t="shared" si="107"/>
        <v>0</v>
      </c>
      <c r="AL322" s="132"/>
      <c r="AM322" s="133"/>
      <c r="AN322" s="246">
        <v>44841</v>
      </c>
      <c r="AO322" s="137"/>
      <c r="AP322" s="97"/>
      <c r="AQ322" s="97"/>
      <c r="AR322" s="97"/>
      <c r="AS322" s="97"/>
      <c r="AT322" s="97"/>
      <c r="AU322" s="97"/>
      <c r="AV322" s="97"/>
      <c r="AW322" s="97"/>
      <c r="AX322" s="97"/>
      <c r="AY322" s="97"/>
      <c r="AZ322" s="97"/>
      <c r="BA322" s="97"/>
      <c r="BB322" s="97"/>
      <c r="BC322" s="97"/>
      <c r="BD322" s="97"/>
      <c r="BE322" s="97"/>
    </row>
    <row r="323" s="115" customFormat="1" customHeight="1" spans="1:57">
      <c r="A323" s="115" t="s">
        <v>4588</v>
      </c>
      <c r="B323" s="111" t="s">
        <v>4589</v>
      </c>
      <c r="C323" s="111" t="s">
        <v>4590</v>
      </c>
      <c r="D323" s="121" t="s">
        <v>4591</v>
      </c>
      <c r="E323" s="266" t="s">
        <v>4592</v>
      </c>
      <c r="F323" s="267">
        <v>3</v>
      </c>
      <c r="G323" s="268">
        <v>3402</v>
      </c>
      <c r="H323" s="268">
        <v>18.85</v>
      </c>
      <c r="I323" s="274" t="s">
        <v>2657</v>
      </c>
      <c r="J323" s="113" t="s">
        <v>4593</v>
      </c>
      <c r="K323" s="266">
        <v>16.32</v>
      </c>
      <c r="L323" s="266" t="s">
        <v>3035</v>
      </c>
      <c r="M323" s="275" t="s">
        <v>4594</v>
      </c>
      <c r="N323" s="113" t="s">
        <v>66</v>
      </c>
      <c r="O323" s="113"/>
      <c r="P323" s="113"/>
      <c r="Q323" s="113">
        <v>31862.75</v>
      </c>
      <c r="R323" s="113">
        <v>600613</v>
      </c>
      <c r="S323" s="280">
        <v>300613</v>
      </c>
      <c r="T323" s="281">
        <f t="shared" si="104"/>
        <v>300000</v>
      </c>
      <c r="U323" s="280"/>
      <c r="V323" s="280">
        <v>1225</v>
      </c>
      <c r="W323" s="280">
        <v>500</v>
      </c>
      <c r="X323" s="280"/>
      <c r="Y323" s="113"/>
      <c r="Z323" s="113"/>
      <c r="AA323" s="275"/>
      <c r="AB323" s="113" t="s">
        <v>4595</v>
      </c>
      <c r="AC323" s="113">
        <v>1250</v>
      </c>
      <c r="AD323" s="113"/>
      <c r="AE323" s="133"/>
      <c r="AG323" s="133"/>
      <c r="AH323" s="133"/>
      <c r="AI323" s="132">
        <f t="shared" si="105"/>
        <v>303588</v>
      </c>
      <c r="AJ323" s="132">
        <f t="shared" si="106"/>
        <v>302338</v>
      </c>
      <c r="AK323" s="133">
        <f t="shared" si="107"/>
        <v>1250</v>
      </c>
      <c r="AL323" s="132"/>
      <c r="AM323" s="133"/>
      <c r="AN323" s="246">
        <v>44841</v>
      </c>
      <c r="AO323" s="137"/>
      <c r="AP323" s="97"/>
      <c r="AQ323" s="97"/>
      <c r="AR323" s="97"/>
      <c r="AS323" s="97"/>
      <c r="AT323" s="97"/>
      <c r="AU323" s="97"/>
      <c r="AV323" s="97"/>
      <c r="AW323" s="97"/>
      <c r="AX323" s="97"/>
      <c r="AY323" s="97"/>
      <c r="AZ323" s="97"/>
      <c r="BA323" s="97"/>
      <c r="BB323" s="97"/>
      <c r="BC323" s="97"/>
      <c r="BD323" s="97"/>
      <c r="BE323" s="97"/>
    </row>
    <row r="324" s="115" customFormat="1" customHeight="1" spans="1:57">
      <c r="A324" s="115" t="s">
        <v>4596</v>
      </c>
      <c r="B324" s="111" t="s">
        <v>4597</v>
      </c>
      <c r="C324" s="111" t="s">
        <v>4598</v>
      </c>
      <c r="D324" s="121" t="s">
        <v>4599</v>
      </c>
      <c r="E324" s="266">
        <v>17739777596</v>
      </c>
      <c r="F324" s="267">
        <v>3</v>
      </c>
      <c r="G324" s="268">
        <v>3403</v>
      </c>
      <c r="H324" s="268">
        <v>14.73</v>
      </c>
      <c r="I324" s="274" t="s">
        <v>2657</v>
      </c>
      <c r="J324" s="113" t="s">
        <v>4600</v>
      </c>
      <c r="K324" s="266">
        <v>16.11</v>
      </c>
      <c r="L324" s="266" t="s">
        <v>3035</v>
      </c>
      <c r="M324" s="275" t="s">
        <v>3818</v>
      </c>
      <c r="N324" s="113" t="s">
        <v>56</v>
      </c>
      <c r="O324" s="113"/>
      <c r="P324" s="113"/>
      <c r="Q324" s="113">
        <v>31036.62</v>
      </c>
      <c r="R324" s="113">
        <v>457169</v>
      </c>
      <c r="S324" s="280">
        <v>457169</v>
      </c>
      <c r="T324" s="281">
        <f t="shared" si="104"/>
        <v>0</v>
      </c>
      <c r="U324" s="280"/>
      <c r="V324" s="280">
        <v>957</v>
      </c>
      <c r="W324" s="280">
        <v>550</v>
      </c>
      <c r="X324" s="280">
        <v>41324</v>
      </c>
      <c r="Y324" s="113" t="s">
        <v>2669</v>
      </c>
      <c r="Z324" s="113" t="s">
        <v>48</v>
      </c>
      <c r="AA324" s="275">
        <v>44191</v>
      </c>
      <c r="AB324" s="113"/>
      <c r="AC324" s="113"/>
      <c r="AD324" s="113"/>
      <c r="AE324" s="133"/>
      <c r="AG324" s="133"/>
      <c r="AH324" s="133"/>
      <c r="AI324" s="132">
        <f t="shared" si="105"/>
        <v>500000</v>
      </c>
      <c r="AJ324" s="132">
        <f t="shared" si="106"/>
        <v>500000</v>
      </c>
      <c r="AK324" s="133">
        <f t="shared" si="107"/>
        <v>0</v>
      </c>
      <c r="AL324" s="132"/>
      <c r="AM324" s="133"/>
      <c r="AN324" s="246">
        <v>44841</v>
      </c>
      <c r="AO324" s="137"/>
      <c r="AP324" s="97"/>
      <c r="AQ324" s="97"/>
      <c r="AR324" s="97"/>
      <c r="AS324" s="97"/>
      <c r="AT324" s="97"/>
      <c r="AU324" s="97"/>
      <c r="AV324" s="97"/>
      <c r="AW324" s="97"/>
      <c r="AX324" s="97"/>
      <c r="AY324" s="97"/>
      <c r="AZ324" s="97"/>
      <c r="BA324" s="97"/>
      <c r="BB324" s="97"/>
      <c r="BC324" s="97"/>
      <c r="BD324" s="97"/>
      <c r="BE324" s="97"/>
    </row>
    <row r="325" s="115" customFormat="1" customHeight="1" spans="1:57">
      <c r="A325" s="115" t="s">
        <v>4601</v>
      </c>
      <c r="B325" s="111" t="s">
        <v>4602</v>
      </c>
      <c r="C325" s="554" t="s">
        <v>4603</v>
      </c>
      <c r="D325" s="121" t="s">
        <v>4604</v>
      </c>
      <c r="E325" s="266" t="s">
        <v>4605</v>
      </c>
      <c r="F325" s="267">
        <v>4</v>
      </c>
      <c r="G325" s="268">
        <v>4105</v>
      </c>
      <c r="H325" s="268">
        <v>13.08</v>
      </c>
      <c r="I325" s="274" t="s">
        <v>2657</v>
      </c>
      <c r="J325" s="113" t="s">
        <v>4606</v>
      </c>
      <c r="K325" s="266">
        <v>14.94</v>
      </c>
      <c r="L325" s="266" t="s">
        <v>2705</v>
      </c>
      <c r="M325" s="275" t="s">
        <v>4607</v>
      </c>
      <c r="N325" s="113" t="s">
        <v>66</v>
      </c>
      <c r="O325" s="113"/>
      <c r="P325" s="113"/>
      <c r="Q325" s="113">
        <v>26034.87</v>
      </c>
      <c r="R325" s="113">
        <v>340536</v>
      </c>
      <c r="S325" s="280">
        <v>200536</v>
      </c>
      <c r="T325" s="281">
        <f t="shared" si="104"/>
        <v>140000</v>
      </c>
      <c r="U325" s="280"/>
      <c r="V325" s="280"/>
      <c r="W325" s="280"/>
      <c r="X325" s="280"/>
      <c r="Y325" s="113"/>
      <c r="Z325" s="113"/>
      <c r="AA325" s="275"/>
      <c r="AB325" s="113"/>
      <c r="AC325" s="113"/>
      <c r="AD325" s="113"/>
      <c r="AE325" s="133"/>
      <c r="AG325" s="133"/>
      <c r="AH325" s="133"/>
      <c r="AI325" s="132">
        <f t="shared" si="105"/>
        <v>200536</v>
      </c>
      <c r="AJ325" s="132">
        <f t="shared" si="106"/>
        <v>200536</v>
      </c>
      <c r="AK325" s="133">
        <f t="shared" si="107"/>
        <v>0</v>
      </c>
      <c r="AL325" s="132"/>
      <c r="AM325" s="133"/>
      <c r="AN325" s="246">
        <v>44841</v>
      </c>
      <c r="AO325" s="137"/>
      <c r="AP325" s="97"/>
      <c r="AQ325" s="97"/>
      <c r="AR325" s="97"/>
      <c r="AS325" s="97"/>
      <c r="AT325" s="97"/>
      <c r="AU325" s="97"/>
      <c r="AV325" s="97"/>
      <c r="AW325" s="97"/>
      <c r="AX325" s="97"/>
      <c r="AY325" s="97"/>
      <c r="AZ325" s="97"/>
      <c r="BA325" s="97"/>
      <c r="BB325" s="97"/>
      <c r="BC325" s="97"/>
      <c r="BD325" s="97"/>
      <c r="BE325" s="97"/>
    </row>
    <row r="326" s="115" customFormat="1" customHeight="1" spans="1:57">
      <c r="A326" s="115" t="s">
        <v>4608</v>
      </c>
      <c r="B326" s="111" t="s">
        <v>4609</v>
      </c>
      <c r="C326" s="111" t="s">
        <v>4610</v>
      </c>
      <c r="D326" s="121" t="s">
        <v>4611</v>
      </c>
      <c r="E326" s="266">
        <v>15936992443</v>
      </c>
      <c r="F326" s="267">
        <v>3</v>
      </c>
      <c r="G326" s="268">
        <v>3617</v>
      </c>
      <c r="H326" s="268">
        <v>20.12</v>
      </c>
      <c r="I326" s="274" t="s">
        <v>2657</v>
      </c>
      <c r="J326" s="113" t="s">
        <v>4612</v>
      </c>
      <c r="K326" s="266">
        <v>19.82</v>
      </c>
      <c r="L326" s="266" t="s">
        <v>2890</v>
      </c>
      <c r="M326" s="275" t="s">
        <v>4328</v>
      </c>
      <c r="N326" s="113" t="s">
        <v>66</v>
      </c>
      <c r="O326" s="113"/>
      <c r="P326" s="113"/>
      <c r="Q326" s="113">
        <v>31281.53</v>
      </c>
      <c r="R326" s="113">
        <v>629384</v>
      </c>
      <c r="S326" s="280">
        <v>319384</v>
      </c>
      <c r="T326" s="281">
        <f t="shared" si="104"/>
        <v>310000</v>
      </c>
      <c r="U326" s="280"/>
      <c r="V326" s="280">
        <v>1307</v>
      </c>
      <c r="W326" s="280">
        <v>550</v>
      </c>
      <c r="X326" s="280"/>
      <c r="Y326" s="113" t="s">
        <v>2669</v>
      </c>
      <c r="Z326" s="113" t="s">
        <v>48</v>
      </c>
      <c r="AA326" s="275">
        <v>44021</v>
      </c>
      <c r="AB326" s="113" t="s">
        <v>4613</v>
      </c>
      <c r="AC326" s="113">
        <v>1251</v>
      </c>
      <c r="AD326" s="113"/>
      <c r="AE326" s="133"/>
      <c r="AG326" s="133"/>
      <c r="AH326" s="133"/>
      <c r="AI326" s="132">
        <f t="shared" si="105"/>
        <v>322492</v>
      </c>
      <c r="AJ326" s="132">
        <f t="shared" si="106"/>
        <v>321241</v>
      </c>
      <c r="AK326" s="133">
        <f t="shared" si="107"/>
        <v>1251</v>
      </c>
      <c r="AL326" s="132" t="s">
        <v>4614</v>
      </c>
      <c r="AM326" s="133"/>
      <c r="AN326" s="246">
        <v>44841</v>
      </c>
      <c r="AO326" s="137"/>
      <c r="AP326" s="97"/>
      <c r="AQ326" s="97"/>
      <c r="AR326" s="97"/>
      <c r="AS326" s="97"/>
      <c r="AT326" s="97"/>
      <c r="AU326" s="97"/>
      <c r="AV326" s="97"/>
      <c r="AW326" s="97"/>
      <c r="AX326" s="97"/>
      <c r="AY326" s="97"/>
      <c r="AZ326" s="97"/>
      <c r="BA326" s="97"/>
      <c r="BB326" s="97"/>
      <c r="BC326" s="97"/>
      <c r="BD326" s="97"/>
      <c r="BE326" s="97"/>
    </row>
    <row r="327" s="115" customFormat="1" customHeight="1" spans="1:57">
      <c r="A327" s="115" t="s">
        <v>4615</v>
      </c>
      <c r="B327" s="111" t="s">
        <v>4616</v>
      </c>
      <c r="C327" s="111" t="s">
        <v>4617</v>
      </c>
      <c r="D327" s="121" t="s">
        <v>4618</v>
      </c>
      <c r="E327" s="266">
        <v>13525568497</v>
      </c>
      <c r="F327" s="267">
        <v>3</v>
      </c>
      <c r="G327" s="268">
        <v>373</v>
      </c>
      <c r="H327" s="268">
        <v>20.09</v>
      </c>
      <c r="I327" s="274" t="s">
        <v>2657</v>
      </c>
      <c r="J327" s="113" t="s">
        <v>4619</v>
      </c>
      <c r="K327" s="266">
        <v>18.58</v>
      </c>
      <c r="L327" s="266" t="s">
        <v>2961</v>
      </c>
      <c r="M327" s="275" t="s">
        <v>2890</v>
      </c>
      <c r="N327" s="113" t="s">
        <v>66</v>
      </c>
      <c r="O327" s="113"/>
      <c r="P327" s="113"/>
      <c r="Q327" s="113">
        <v>31468.08</v>
      </c>
      <c r="R327" s="113">
        <v>584677</v>
      </c>
      <c r="S327" s="280">
        <v>294677</v>
      </c>
      <c r="T327" s="281">
        <f t="shared" si="104"/>
        <v>290000</v>
      </c>
      <c r="U327" s="280"/>
      <c r="V327" s="280"/>
      <c r="W327" s="280"/>
      <c r="X327" s="280"/>
      <c r="Y327" s="113"/>
      <c r="Z327" s="113"/>
      <c r="AA327" s="275"/>
      <c r="AB327" s="113"/>
      <c r="AC327" s="113"/>
      <c r="AD327" s="113"/>
      <c r="AE327" s="133"/>
      <c r="AG327" s="133"/>
      <c r="AH327" s="133"/>
      <c r="AI327" s="132">
        <f t="shared" si="105"/>
        <v>294677</v>
      </c>
      <c r="AJ327" s="132">
        <f t="shared" si="106"/>
        <v>294677</v>
      </c>
      <c r="AK327" s="133">
        <f t="shared" si="107"/>
        <v>0</v>
      </c>
      <c r="AL327" s="132"/>
      <c r="AM327" s="133"/>
      <c r="AN327" s="246">
        <v>44841</v>
      </c>
      <c r="AO327" s="137"/>
      <c r="AP327" s="97"/>
      <c r="AQ327" s="97"/>
      <c r="AR327" s="97"/>
      <c r="AS327" s="97"/>
      <c r="AT327" s="97"/>
      <c r="AU327" s="97"/>
      <c r="AV327" s="97"/>
      <c r="AW327" s="97"/>
      <c r="AX327" s="97"/>
      <c r="AY327" s="97"/>
      <c r="AZ327" s="97"/>
      <c r="BA327" s="97"/>
      <c r="BB327" s="97"/>
      <c r="BC327" s="97"/>
      <c r="BD327" s="97"/>
      <c r="BE327" s="97"/>
    </row>
    <row r="328" s="115" customFormat="1" customHeight="1" spans="1:57">
      <c r="A328" s="115" t="s">
        <v>4620</v>
      </c>
      <c r="B328" s="111" t="s">
        <v>4621</v>
      </c>
      <c r="C328" s="554" t="s">
        <v>4622</v>
      </c>
      <c r="D328" s="121" t="s">
        <v>4623</v>
      </c>
      <c r="E328" s="266">
        <v>18937621730</v>
      </c>
      <c r="F328" s="267">
        <v>1</v>
      </c>
      <c r="G328" s="268">
        <v>1120</v>
      </c>
      <c r="H328" s="268">
        <v>13.36</v>
      </c>
      <c r="I328" s="274" t="s">
        <v>2657</v>
      </c>
      <c r="J328" s="113" t="s">
        <v>4624</v>
      </c>
      <c r="K328" s="266">
        <v>9.79</v>
      </c>
      <c r="L328" s="266" t="s">
        <v>4484</v>
      </c>
      <c r="M328" s="275" t="s">
        <v>2806</v>
      </c>
      <c r="N328" s="113" t="s">
        <v>66</v>
      </c>
      <c r="O328" s="113"/>
      <c r="P328" s="113"/>
      <c r="Q328" s="113">
        <v>48621.04</v>
      </c>
      <c r="R328" s="113">
        <v>476000</v>
      </c>
      <c r="S328" s="280">
        <v>246000</v>
      </c>
      <c r="T328" s="281">
        <f t="shared" si="104"/>
        <v>230000</v>
      </c>
      <c r="U328" s="280"/>
      <c r="V328" s="280"/>
      <c r="W328" s="280"/>
      <c r="X328" s="280"/>
      <c r="Y328" s="113"/>
      <c r="Z328" s="113"/>
      <c r="AA328" s="275"/>
      <c r="AB328" s="113"/>
      <c r="AC328" s="113"/>
      <c r="AD328" s="113"/>
      <c r="AE328" s="133"/>
      <c r="AG328" s="133"/>
      <c r="AH328" s="133"/>
      <c r="AI328" s="132">
        <f t="shared" si="105"/>
        <v>246000</v>
      </c>
      <c r="AJ328" s="132">
        <f t="shared" si="106"/>
        <v>246000</v>
      </c>
      <c r="AK328" s="133">
        <f t="shared" si="107"/>
        <v>0</v>
      </c>
      <c r="AL328" s="132"/>
      <c r="AM328" s="133"/>
      <c r="AN328" s="246">
        <v>44841</v>
      </c>
      <c r="AO328" s="137"/>
      <c r="AP328" s="97"/>
      <c r="AQ328" s="97"/>
      <c r="AR328" s="97"/>
      <c r="AS328" s="97"/>
      <c r="AT328" s="97"/>
      <c r="AU328" s="97"/>
      <c r="AV328" s="97"/>
      <c r="AW328" s="97"/>
      <c r="AX328" s="97"/>
      <c r="AY328" s="97"/>
      <c r="AZ328" s="97"/>
      <c r="BA328" s="97"/>
      <c r="BB328" s="97"/>
      <c r="BC328" s="97"/>
      <c r="BD328" s="97"/>
      <c r="BE328" s="97"/>
    </row>
    <row r="329" s="115" customFormat="1" customHeight="1" spans="1:57">
      <c r="A329" s="115" t="s">
        <v>4625</v>
      </c>
      <c r="B329" s="111" t="s">
        <v>4626</v>
      </c>
      <c r="C329" s="111" t="s">
        <v>4627</v>
      </c>
      <c r="D329" s="121" t="s">
        <v>4628</v>
      </c>
      <c r="E329" s="266">
        <v>13526633627</v>
      </c>
      <c r="F329" s="267">
        <v>3</v>
      </c>
      <c r="G329" s="268">
        <v>3601</v>
      </c>
      <c r="H329" s="268">
        <v>16.33</v>
      </c>
      <c r="I329" s="274" t="s">
        <v>2657</v>
      </c>
      <c r="J329" s="113" t="s">
        <v>4629</v>
      </c>
      <c r="K329" s="266">
        <v>15.86</v>
      </c>
      <c r="L329" s="266" t="s">
        <v>3858</v>
      </c>
      <c r="M329" s="275" t="s">
        <v>3073</v>
      </c>
      <c r="N329" s="113" t="s">
        <v>66</v>
      </c>
      <c r="O329" s="113"/>
      <c r="P329" s="113"/>
      <c r="Q329" s="113">
        <v>31764.25</v>
      </c>
      <c r="R329" s="113">
        <v>503781</v>
      </c>
      <c r="S329" s="280">
        <v>253781</v>
      </c>
      <c r="T329" s="281">
        <f t="shared" si="104"/>
        <v>250000</v>
      </c>
      <c r="U329" s="280"/>
      <c r="V329" s="280"/>
      <c r="W329" s="280"/>
      <c r="X329" s="280"/>
      <c r="Y329" s="113"/>
      <c r="Z329" s="113"/>
      <c r="AA329" s="275"/>
      <c r="AB329" s="113"/>
      <c r="AC329" s="113"/>
      <c r="AD329" s="113"/>
      <c r="AE329" s="133"/>
      <c r="AG329" s="133"/>
      <c r="AH329" s="133"/>
      <c r="AI329" s="132">
        <f t="shared" si="105"/>
        <v>253781</v>
      </c>
      <c r="AJ329" s="132">
        <f t="shared" si="106"/>
        <v>253781</v>
      </c>
      <c r="AK329" s="133">
        <f t="shared" si="107"/>
        <v>0</v>
      </c>
      <c r="AL329" s="132"/>
      <c r="AM329" s="133"/>
      <c r="AN329" s="246">
        <v>44841</v>
      </c>
      <c r="AO329" s="137"/>
      <c r="AP329" s="97"/>
      <c r="AQ329" s="97"/>
      <c r="AR329" s="97"/>
      <c r="AS329" s="97"/>
      <c r="AT329" s="97"/>
      <c r="AU329" s="97"/>
      <c r="AV329" s="97"/>
      <c r="AW329" s="97"/>
      <c r="AX329" s="97"/>
      <c r="AY329" s="97"/>
      <c r="AZ329" s="97"/>
      <c r="BA329" s="97"/>
      <c r="BB329" s="97"/>
      <c r="BC329" s="97"/>
      <c r="BD329" s="97"/>
      <c r="BE329" s="97"/>
    </row>
    <row r="330" s="115" customFormat="1" customHeight="1" spans="1:57">
      <c r="A330" s="115" t="s">
        <v>4630</v>
      </c>
      <c r="B330" s="111" t="s">
        <v>4631</v>
      </c>
      <c r="C330" s="111" t="s">
        <v>4632</v>
      </c>
      <c r="D330" s="121" t="s">
        <v>4633</v>
      </c>
      <c r="E330" s="266">
        <v>13525597569</v>
      </c>
      <c r="F330" s="267">
        <v>4</v>
      </c>
      <c r="G330" s="268">
        <v>422</v>
      </c>
      <c r="H330" s="268">
        <v>30.01</v>
      </c>
      <c r="I330" s="274" t="s">
        <v>2665</v>
      </c>
      <c r="J330" s="113" t="s">
        <v>4634</v>
      </c>
      <c r="K330" s="266">
        <v>31.85</v>
      </c>
      <c r="L330" s="266" t="s">
        <v>2711</v>
      </c>
      <c r="M330" s="275" t="s">
        <v>3402</v>
      </c>
      <c r="N330" s="113" t="s">
        <v>56</v>
      </c>
      <c r="O330" s="113"/>
      <c r="P330" s="113"/>
      <c r="Q330" s="113">
        <v>19419.15</v>
      </c>
      <c r="R330" s="113">
        <v>582769</v>
      </c>
      <c r="S330" s="280">
        <v>582769</v>
      </c>
      <c r="T330" s="281">
        <f t="shared" si="104"/>
        <v>0</v>
      </c>
      <c r="U330" s="280"/>
      <c r="V330" s="280">
        <v>1950</v>
      </c>
      <c r="W330" s="280">
        <v>550</v>
      </c>
      <c r="X330" s="280">
        <v>33231</v>
      </c>
      <c r="Y330" s="113" t="s">
        <v>2669</v>
      </c>
      <c r="Z330" s="113" t="s">
        <v>48</v>
      </c>
      <c r="AA330" s="275">
        <v>44026</v>
      </c>
      <c r="AB330" s="113" t="s">
        <v>4635</v>
      </c>
      <c r="AC330" s="113"/>
      <c r="AD330" s="113"/>
      <c r="AE330" s="133">
        <f>1950+550</f>
        <v>2500</v>
      </c>
      <c r="AG330" s="133"/>
      <c r="AH330" s="133"/>
      <c r="AI330" s="132">
        <f t="shared" si="105"/>
        <v>621000</v>
      </c>
      <c r="AJ330" s="132">
        <f t="shared" si="106"/>
        <v>618500</v>
      </c>
      <c r="AK330" s="133">
        <f t="shared" si="107"/>
        <v>2500</v>
      </c>
      <c r="AL330" s="132" t="s">
        <v>4636</v>
      </c>
      <c r="AM330" s="133"/>
      <c r="AN330" s="246">
        <v>44841</v>
      </c>
      <c r="AO330" s="137" t="s">
        <v>4637</v>
      </c>
      <c r="AP330" s="97"/>
      <c r="AQ330" s="97"/>
      <c r="AR330" s="97"/>
      <c r="AS330" s="97"/>
      <c r="AT330" s="97"/>
      <c r="AU330" s="97"/>
      <c r="AV330" s="97"/>
      <c r="AW330" s="97"/>
      <c r="AX330" s="97"/>
      <c r="AY330" s="97"/>
      <c r="AZ330" s="97"/>
      <c r="BA330" s="97"/>
      <c r="BB330" s="97"/>
      <c r="BC330" s="97"/>
      <c r="BD330" s="97"/>
      <c r="BE330" s="97"/>
    </row>
    <row r="331" s="115" customFormat="1" customHeight="1" spans="1:57">
      <c r="A331" s="115" t="s">
        <v>4638</v>
      </c>
      <c r="B331" s="111" t="s">
        <v>4639</v>
      </c>
      <c r="C331" s="554" t="s">
        <v>4640</v>
      </c>
      <c r="D331" s="121" t="s">
        <v>4641</v>
      </c>
      <c r="E331" s="266">
        <v>15803858776</v>
      </c>
      <c r="F331" s="267">
        <v>4</v>
      </c>
      <c r="G331" s="268">
        <v>4217</v>
      </c>
      <c r="H331" s="268">
        <v>16.84</v>
      </c>
      <c r="I331" s="274" t="s">
        <v>2657</v>
      </c>
      <c r="J331" s="113" t="s">
        <v>4642</v>
      </c>
      <c r="K331" s="266">
        <v>18.04</v>
      </c>
      <c r="L331" s="266" t="s">
        <v>2770</v>
      </c>
      <c r="M331" s="275" t="s">
        <v>3911</v>
      </c>
      <c r="N331" s="113" t="s">
        <v>56</v>
      </c>
      <c r="O331" s="113"/>
      <c r="P331" s="113"/>
      <c r="Q331" s="113">
        <v>25501</v>
      </c>
      <c r="R331" s="113">
        <v>460038</v>
      </c>
      <c r="S331" s="280">
        <v>460038</v>
      </c>
      <c r="T331" s="281">
        <f t="shared" si="104"/>
        <v>0</v>
      </c>
      <c r="U331" s="280"/>
      <c r="V331" s="280"/>
      <c r="W331" s="280"/>
      <c r="X331" s="280"/>
      <c r="Y331" s="113"/>
      <c r="Z331" s="113"/>
      <c r="AA331" s="275"/>
      <c r="AB331" s="113"/>
      <c r="AC331" s="113"/>
      <c r="AD331" s="113"/>
      <c r="AE331" s="133"/>
      <c r="AG331" s="133"/>
      <c r="AH331" s="133"/>
      <c r="AI331" s="132">
        <f t="shared" ref="AI331:AI342" si="108">S331+U331+V331+W331+X331+AC331+AD331+AE331</f>
        <v>460038</v>
      </c>
      <c r="AJ331" s="132">
        <f t="shared" ref="AJ331:AJ342" si="109">S331+U331+V331+W331+X331</f>
        <v>460038</v>
      </c>
      <c r="AK331" s="133">
        <f t="shared" ref="AK331:AK342" si="110">AI331-AJ331</f>
        <v>0</v>
      </c>
      <c r="AL331" s="132"/>
      <c r="AM331" s="133"/>
      <c r="AN331" s="246">
        <v>44841</v>
      </c>
      <c r="AO331" s="137"/>
      <c r="AP331" s="97"/>
      <c r="AQ331" s="97"/>
      <c r="AR331" s="97"/>
      <c r="AS331" s="97"/>
      <c r="AT331" s="97"/>
      <c r="AU331" s="97"/>
      <c r="AV331" s="97"/>
      <c r="AW331" s="97"/>
      <c r="AX331" s="97"/>
      <c r="AY331" s="97"/>
      <c r="AZ331" s="97"/>
      <c r="BA331" s="97"/>
      <c r="BB331" s="97"/>
      <c r="BC331" s="97"/>
      <c r="BD331" s="97"/>
      <c r="BE331" s="97"/>
    </row>
    <row r="332" s="115" customFormat="1" customHeight="1" spans="1:57">
      <c r="A332" s="115" t="s">
        <v>4643</v>
      </c>
      <c r="B332" s="111" t="s">
        <v>4644</v>
      </c>
      <c r="C332" s="554" t="s">
        <v>4645</v>
      </c>
      <c r="D332" s="121" t="s">
        <v>4646</v>
      </c>
      <c r="E332" s="266">
        <v>18539289602</v>
      </c>
      <c r="F332" s="267">
        <v>1</v>
      </c>
      <c r="G332" s="268">
        <v>1127</v>
      </c>
      <c r="H332" s="268">
        <v>50.62</v>
      </c>
      <c r="I332" s="274" t="s">
        <v>2665</v>
      </c>
      <c r="J332" s="113" t="s">
        <v>4647</v>
      </c>
      <c r="K332" s="266">
        <v>41.78</v>
      </c>
      <c r="L332" s="266" t="s">
        <v>2711</v>
      </c>
      <c r="M332" s="275" t="s">
        <v>3849</v>
      </c>
      <c r="N332" s="113" t="s">
        <v>56</v>
      </c>
      <c r="O332" s="113"/>
      <c r="P332" s="113"/>
      <c r="Q332" s="113">
        <v>43636.3810435615</v>
      </c>
      <c r="R332" s="113">
        <v>1823128</v>
      </c>
      <c r="S332" s="280">
        <v>1823128</v>
      </c>
      <c r="T332" s="281">
        <f t="shared" si="104"/>
        <v>0</v>
      </c>
      <c r="U332" s="280"/>
      <c r="V332" s="280"/>
      <c r="W332" s="280"/>
      <c r="X332" s="280"/>
      <c r="Y332" s="113"/>
      <c r="Z332" s="113"/>
      <c r="AA332" s="275"/>
      <c r="AB332" s="113"/>
      <c r="AC332" s="113"/>
      <c r="AD332" s="113"/>
      <c r="AE332" s="133"/>
      <c r="AG332" s="133"/>
      <c r="AH332" s="133"/>
      <c r="AI332" s="132">
        <f t="shared" si="108"/>
        <v>1823128</v>
      </c>
      <c r="AJ332" s="132">
        <f t="shared" si="109"/>
        <v>1823128</v>
      </c>
      <c r="AK332" s="133">
        <f t="shared" si="110"/>
        <v>0</v>
      </c>
      <c r="AL332" s="132"/>
      <c r="AM332" s="133"/>
      <c r="AN332" s="246">
        <v>44841</v>
      </c>
      <c r="AO332" s="137"/>
      <c r="AP332" s="97"/>
      <c r="AQ332" s="97"/>
      <c r="AR332" s="97"/>
      <c r="AS332" s="97"/>
      <c r="AT332" s="97"/>
      <c r="AU332" s="97"/>
      <c r="AV332" s="97"/>
      <c r="AW332" s="97"/>
      <c r="AX332" s="97"/>
      <c r="AY332" s="97"/>
      <c r="AZ332" s="97"/>
      <c r="BA332" s="97"/>
      <c r="BB332" s="97"/>
      <c r="BC332" s="97"/>
      <c r="BD332" s="97"/>
      <c r="BE332" s="97"/>
    </row>
    <row r="333" s="115" customFormat="1" customHeight="1" spans="1:57">
      <c r="A333" s="115" t="s">
        <v>4648</v>
      </c>
      <c r="B333" s="111" t="s">
        <v>4649</v>
      </c>
      <c r="C333" s="554" t="s">
        <v>4650</v>
      </c>
      <c r="D333" s="121" t="s">
        <v>4651</v>
      </c>
      <c r="E333" s="266">
        <v>13503869549</v>
      </c>
      <c r="F333" s="267">
        <v>4</v>
      </c>
      <c r="G333" s="268">
        <v>4224</v>
      </c>
      <c r="H333" s="268">
        <v>17.44</v>
      </c>
      <c r="I333" s="274" t="s">
        <v>2657</v>
      </c>
      <c r="J333" s="113" t="s">
        <v>4652</v>
      </c>
      <c r="K333" s="266">
        <v>17.73</v>
      </c>
      <c r="L333" s="266" t="s">
        <v>2659</v>
      </c>
      <c r="M333" s="275" t="s">
        <v>2770</v>
      </c>
      <c r="N333" s="113" t="s">
        <v>66</v>
      </c>
      <c r="O333" s="113"/>
      <c r="P333" s="113"/>
      <c r="Q333" s="113">
        <v>26297.86</v>
      </c>
      <c r="R333" s="113">
        <v>466261</v>
      </c>
      <c r="S333" s="280">
        <v>236261</v>
      </c>
      <c r="T333" s="281">
        <f t="shared" si="104"/>
        <v>230000</v>
      </c>
      <c r="U333" s="280"/>
      <c r="V333" s="280"/>
      <c r="W333" s="280"/>
      <c r="X333" s="280"/>
      <c r="Y333" s="113"/>
      <c r="Z333" s="113"/>
      <c r="AA333" s="275"/>
      <c r="AB333" s="113"/>
      <c r="AC333" s="113"/>
      <c r="AD333" s="113"/>
      <c r="AE333" s="133"/>
      <c r="AG333" s="133"/>
      <c r="AH333" s="133"/>
      <c r="AI333" s="132">
        <f t="shared" si="108"/>
        <v>236261</v>
      </c>
      <c r="AJ333" s="132">
        <f t="shared" si="109"/>
        <v>236261</v>
      </c>
      <c r="AK333" s="133">
        <f t="shared" si="110"/>
        <v>0</v>
      </c>
      <c r="AL333" s="132"/>
      <c r="AM333" s="133"/>
      <c r="AN333" s="246">
        <v>44841</v>
      </c>
      <c r="AO333" s="137"/>
      <c r="AP333" s="97"/>
      <c r="AQ333" s="97"/>
      <c r="AR333" s="97"/>
      <c r="AS333" s="97"/>
      <c r="AT333" s="97"/>
      <c r="AU333" s="97"/>
      <c r="AV333" s="97"/>
      <c r="AW333" s="97"/>
      <c r="AX333" s="97"/>
      <c r="AY333" s="97"/>
      <c r="AZ333" s="97"/>
      <c r="BA333" s="97"/>
      <c r="BB333" s="97"/>
      <c r="BC333" s="97"/>
      <c r="BD333" s="97"/>
      <c r="BE333" s="97"/>
    </row>
    <row r="334" s="115" customFormat="1" customHeight="1" spans="1:57">
      <c r="A334" s="115" t="s">
        <v>4653</v>
      </c>
      <c r="B334" s="111" t="s">
        <v>4654</v>
      </c>
      <c r="C334" s="554" t="s">
        <v>4655</v>
      </c>
      <c r="D334" s="121" t="s">
        <v>4656</v>
      </c>
      <c r="E334" s="266">
        <v>18939596931</v>
      </c>
      <c r="F334" s="267">
        <v>4</v>
      </c>
      <c r="G334" s="268">
        <v>4215</v>
      </c>
      <c r="H334" s="268">
        <v>59.62</v>
      </c>
      <c r="I334" s="274" t="s">
        <v>2657</v>
      </c>
      <c r="J334" s="113" t="s">
        <v>4657</v>
      </c>
      <c r="K334" s="266">
        <v>16.7</v>
      </c>
      <c r="L334" s="266" t="s">
        <v>3733</v>
      </c>
      <c r="M334" s="275" t="s">
        <v>3131</v>
      </c>
      <c r="N334" s="113" t="s">
        <v>66</v>
      </c>
      <c r="O334" s="113"/>
      <c r="P334" s="113"/>
      <c r="Q334" s="113">
        <v>26208.02</v>
      </c>
      <c r="R334" s="113">
        <v>437674</v>
      </c>
      <c r="S334" s="280">
        <v>227674</v>
      </c>
      <c r="T334" s="281">
        <f t="shared" si="104"/>
        <v>210000</v>
      </c>
      <c r="U334" s="280"/>
      <c r="V334" s="280"/>
      <c r="W334" s="280"/>
      <c r="X334" s="280"/>
      <c r="Y334" s="113"/>
      <c r="Z334" s="113"/>
      <c r="AA334" s="275"/>
      <c r="AB334" s="113"/>
      <c r="AC334" s="113"/>
      <c r="AD334" s="113"/>
      <c r="AE334" s="133"/>
      <c r="AG334" s="133"/>
      <c r="AH334" s="133"/>
      <c r="AI334" s="132">
        <f t="shared" si="108"/>
        <v>227674</v>
      </c>
      <c r="AJ334" s="132">
        <f t="shared" si="109"/>
        <v>227674</v>
      </c>
      <c r="AK334" s="133">
        <f t="shared" si="110"/>
        <v>0</v>
      </c>
      <c r="AL334" s="132"/>
      <c r="AM334" s="133"/>
      <c r="AN334" s="246">
        <v>44841</v>
      </c>
      <c r="AO334" s="137"/>
      <c r="AP334" s="97"/>
      <c r="AQ334" s="97"/>
      <c r="AR334" s="97"/>
      <c r="AS334" s="97"/>
      <c r="AT334" s="97"/>
      <c r="AU334" s="97"/>
      <c r="AV334" s="97"/>
      <c r="AW334" s="97"/>
      <c r="AX334" s="97"/>
      <c r="AY334" s="97"/>
      <c r="AZ334" s="97"/>
      <c r="BA334" s="97"/>
      <c r="BB334" s="97"/>
      <c r="BC334" s="97"/>
      <c r="BD334" s="97"/>
      <c r="BE334" s="97"/>
    </row>
    <row r="335" s="115" customFormat="1" customHeight="1" spans="1:57">
      <c r="A335" s="115" t="s">
        <v>4658</v>
      </c>
      <c r="B335" s="111" t="s">
        <v>4659</v>
      </c>
      <c r="C335" s="554" t="s">
        <v>4660</v>
      </c>
      <c r="D335" s="121" t="s">
        <v>4661</v>
      </c>
      <c r="E335" s="266">
        <v>16603710168</v>
      </c>
      <c r="F335" s="267">
        <v>4</v>
      </c>
      <c r="G335" s="268">
        <v>429</v>
      </c>
      <c r="H335" s="268">
        <v>44.44</v>
      </c>
      <c r="I335" s="274" t="s">
        <v>2665</v>
      </c>
      <c r="J335" s="113" t="s">
        <v>4662</v>
      </c>
      <c r="K335" s="266">
        <v>52.18</v>
      </c>
      <c r="L335" s="266" t="s">
        <v>2711</v>
      </c>
      <c r="M335" s="275" t="s">
        <v>4663</v>
      </c>
      <c r="N335" s="113" t="s">
        <v>56</v>
      </c>
      <c r="O335" s="113"/>
      <c r="P335" s="113"/>
      <c r="Q335" s="113">
        <v>19472.17</v>
      </c>
      <c r="R335" s="113">
        <v>865343</v>
      </c>
      <c r="S335" s="280">
        <v>865343</v>
      </c>
      <c r="T335" s="281">
        <f t="shared" si="104"/>
        <v>0</v>
      </c>
      <c r="U335" s="280"/>
      <c r="V335" s="280">
        <v>2888</v>
      </c>
      <c r="W335" s="280">
        <v>550</v>
      </c>
      <c r="X335" s="280"/>
      <c r="Y335" s="113" t="s">
        <v>2669</v>
      </c>
      <c r="Z335" s="113" t="s">
        <v>48</v>
      </c>
      <c r="AA335" s="275">
        <v>44051</v>
      </c>
      <c r="AB335" s="113" t="s">
        <v>4664</v>
      </c>
      <c r="AC335" s="113"/>
      <c r="AD335" s="113"/>
      <c r="AE335" s="133"/>
      <c r="AG335" s="133"/>
      <c r="AH335" s="133"/>
      <c r="AI335" s="132">
        <f t="shared" si="108"/>
        <v>868781</v>
      </c>
      <c r="AJ335" s="132">
        <f t="shared" si="109"/>
        <v>868781</v>
      </c>
      <c r="AK335" s="133">
        <f t="shared" si="110"/>
        <v>0</v>
      </c>
      <c r="AL335" s="132"/>
      <c r="AM335" s="133"/>
      <c r="AN335" s="246">
        <v>44841</v>
      </c>
      <c r="AO335" s="137"/>
      <c r="AP335" s="97"/>
      <c r="AQ335" s="97"/>
      <c r="AR335" s="97"/>
      <c r="AS335" s="97"/>
      <c r="AT335" s="97"/>
      <c r="AU335" s="97"/>
      <c r="AV335" s="97"/>
      <c r="AW335" s="97"/>
      <c r="AX335" s="97"/>
      <c r="AY335" s="97"/>
      <c r="AZ335" s="97"/>
      <c r="BA335" s="97"/>
      <c r="BB335" s="97"/>
      <c r="BC335" s="97"/>
      <c r="BD335" s="97"/>
      <c r="BE335" s="97"/>
    </row>
    <row r="336" s="115" customFormat="1" customHeight="1" spans="1:57">
      <c r="A336" s="115" t="s">
        <v>4665</v>
      </c>
      <c r="B336" s="111" t="s">
        <v>4666</v>
      </c>
      <c r="C336" s="111" t="s">
        <v>4667</v>
      </c>
      <c r="D336" s="121" t="s">
        <v>4668</v>
      </c>
      <c r="E336" s="266">
        <v>18837124499</v>
      </c>
      <c r="F336" s="267">
        <v>3</v>
      </c>
      <c r="G336" s="268">
        <v>3131</v>
      </c>
      <c r="H336" s="268">
        <v>24.88</v>
      </c>
      <c r="I336" s="274" t="s">
        <v>2657</v>
      </c>
      <c r="J336" s="113" t="s">
        <v>4669</v>
      </c>
      <c r="K336" s="266">
        <v>22.17</v>
      </c>
      <c r="L336" s="266" t="s">
        <v>4670</v>
      </c>
      <c r="M336" s="275" t="s">
        <v>4670</v>
      </c>
      <c r="N336" s="113" t="s">
        <v>66</v>
      </c>
      <c r="O336" s="113"/>
      <c r="P336" s="113"/>
      <c r="Q336" s="113">
        <v>31574.06</v>
      </c>
      <c r="R336" s="113">
        <v>699997</v>
      </c>
      <c r="S336" s="280">
        <v>359997</v>
      </c>
      <c r="T336" s="281">
        <f t="shared" si="104"/>
        <v>340000</v>
      </c>
      <c r="U336" s="280"/>
      <c r="V336" s="280"/>
      <c r="W336" s="280"/>
      <c r="X336" s="280"/>
      <c r="Y336" s="113"/>
      <c r="Z336" s="113"/>
      <c r="AA336" s="275"/>
      <c r="AB336" s="113"/>
      <c r="AC336" s="113"/>
      <c r="AD336" s="113"/>
      <c r="AE336" s="133"/>
      <c r="AG336" s="133"/>
      <c r="AH336" s="133"/>
      <c r="AI336" s="132">
        <f t="shared" si="108"/>
        <v>359997</v>
      </c>
      <c r="AJ336" s="132">
        <f t="shared" si="109"/>
        <v>359997</v>
      </c>
      <c r="AK336" s="133">
        <f t="shared" si="110"/>
        <v>0</v>
      </c>
      <c r="AL336" s="132"/>
      <c r="AM336" s="133"/>
      <c r="AN336" s="246">
        <v>44841</v>
      </c>
      <c r="AO336" s="137"/>
      <c r="AP336" s="97"/>
      <c r="AQ336" s="97"/>
      <c r="AR336" s="97"/>
      <c r="AS336" s="97"/>
      <c r="AT336" s="97"/>
      <c r="AU336" s="97"/>
      <c r="AV336" s="97"/>
      <c r="AW336" s="97"/>
      <c r="AX336" s="97"/>
      <c r="AY336" s="97"/>
      <c r="AZ336" s="97"/>
      <c r="BA336" s="97"/>
      <c r="BB336" s="97"/>
      <c r="BC336" s="97"/>
      <c r="BD336" s="97"/>
      <c r="BE336" s="97"/>
    </row>
    <row r="337" s="115" customFormat="1" customHeight="1" spans="1:57">
      <c r="A337" s="115" t="s">
        <v>4671</v>
      </c>
      <c r="B337" s="111" t="s">
        <v>4672</v>
      </c>
      <c r="C337" s="111" t="s">
        <v>4673</v>
      </c>
      <c r="D337" s="121" t="s">
        <v>4674</v>
      </c>
      <c r="E337" s="266">
        <v>13733821990</v>
      </c>
      <c r="F337" s="267">
        <v>3</v>
      </c>
      <c r="G337" s="268">
        <v>3966</v>
      </c>
      <c r="H337" s="268">
        <v>20.04</v>
      </c>
      <c r="I337" s="274" t="s">
        <v>2657</v>
      </c>
      <c r="J337" s="113" t="s">
        <v>4675</v>
      </c>
      <c r="K337" s="266">
        <v>19.9</v>
      </c>
      <c r="L337" s="266" t="s">
        <v>3963</v>
      </c>
      <c r="M337" s="275" t="s">
        <v>4328</v>
      </c>
      <c r="N337" s="113" t="s">
        <v>56</v>
      </c>
      <c r="O337" s="113"/>
      <c r="P337" s="113"/>
      <c r="Q337" s="113">
        <v>30344.96</v>
      </c>
      <c r="R337" s="113">
        <v>608113</v>
      </c>
      <c r="S337" s="280">
        <v>608113</v>
      </c>
      <c r="T337" s="281">
        <f t="shared" si="104"/>
        <v>0</v>
      </c>
      <c r="U337" s="280"/>
      <c r="V337" s="280">
        <v>1302</v>
      </c>
      <c r="W337" s="280">
        <v>550</v>
      </c>
      <c r="X337" s="280"/>
      <c r="Y337" s="113" t="s">
        <v>2669</v>
      </c>
      <c r="Z337" s="113" t="s">
        <v>48</v>
      </c>
      <c r="AA337" s="275">
        <v>44019</v>
      </c>
      <c r="AB337" s="113" t="s">
        <v>4676</v>
      </c>
      <c r="AC337" s="113"/>
      <c r="AD337" s="113"/>
      <c r="AE337" s="133"/>
      <c r="AG337" s="133"/>
      <c r="AH337" s="133"/>
      <c r="AI337" s="132">
        <f t="shared" si="108"/>
        <v>609965</v>
      </c>
      <c r="AJ337" s="132">
        <f t="shared" si="109"/>
        <v>609965</v>
      </c>
      <c r="AK337" s="133">
        <f t="shared" si="110"/>
        <v>0</v>
      </c>
      <c r="AL337" s="132" t="s">
        <v>4677</v>
      </c>
      <c r="AM337" s="133"/>
      <c r="AN337" s="246">
        <v>44841</v>
      </c>
      <c r="AO337" s="137"/>
      <c r="AP337" s="97"/>
      <c r="AQ337" s="97"/>
      <c r="AR337" s="97"/>
      <c r="AS337" s="97"/>
      <c r="AT337" s="97"/>
      <c r="AU337" s="97"/>
      <c r="AV337" s="97"/>
      <c r="AW337" s="97"/>
      <c r="AX337" s="97"/>
      <c r="AY337" s="97"/>
      <c r="AZ337" s="97"/>
      <c r="BA337" s="97"/>
      <c r="BB337" s="97"/>
      <c r="BC337" s="97"/>
      <c r="BD337" s="97"/>
      <c r="BE337" s="97"/>
    </row>
    <row r="338" s="115" customFormat="1" customHeight="1" spans="1:57">
      <c r="A338" s="115" t="s">
        <v>4678</v>
      </c>
      <c r="B338" s="111" t="s">
        <v>4679</v>
      </c>
      <c r="C338" s="111" t="s">
        <v>4680</v>
      </c>
      <c r="D338" s="121" t="s">
        <v>4681</v>
      </c>
      <c r="E338" s="266" t="s">
        <v>4682</v>
      </c>
      <c r="F338" s="267">
        <v>1</v>
      </c>
      <c r="G338" s="268">
        <v>1390</v>
      </c>
      <c r="H338" s="268">
        <v>33.21</v>
      </c>
      <c r="I338" s="274" t="s">
        <v>2665</v>
      </c>
      <c r="J338" s="113" t="s">
        <v>4683</v>
      </c>
      <c r="K338" s="266">
        <v>25.48</v>
      </c>
      <c r="L338" s="266" t="s">
        <v>4684</v>
      </c>
      <c r="M338" s="275" t="s">
        <v>4685</v>
      </c>
      <c r="N338" s="113" t="s">
        <v>56</v>
      </c>
      <c r="O338" s="113"/>
      <c r="P338" s="113"/>
      <c r="Q338" s="113">
        <v>41208.79</v>
      </c>
      <c r="R338" s="113">
        <v>1050000</v>
      </c>
      <c r="S338" s="280">
        <v>1050000</v>
      </c>
      <c r="T338" s="281">
        <f t="shared" si="104"/>
        <v>0</v>
      </c>
      <c r="U338" s="280"/>
      <c r="V338" s="280"/>
      <c r="W338" s="280"/>
      <c r="X338" s="280"/>
      <c r="Y338" s="113"/>
      <c r="Z338" s="113"/>
      <c r="AA338" s="275"/>
      <c r="AB338" s="113"/>
      <c r="AC338" s="113"/>
      <c r="AD338" s="113"/>
      <c r="AE338" s="133"/>
      <c r="AG338" s="133"/>
      <c r="AH338" s="133"/>
      <c r="AI338" s="132">
        <f t="shared" si="108"/>
        <v>1050000</v>
      </c>
      <c r="AJ338" s="132">
        <f t="shared" si="109"/>
        <v>1050000</v>
      </c>
      <c r="AK338" s="133">
        <f t="shared" si="110"/>
        <v>0</v>
      </c>
      <c r="AL338" s="132"/>
      <c r="AM338" s="133"/>
      <c r="AN338" s="246">
        <v>44841</v>
      </c>
      <c r="AO338" s="137"/>
      <c r="AP338" s="97"/>
      <c r="AQ338" s="97"/>
      <c r="AR338" s="97"/>
      <c r="AS338" s="97"/>
      <c r="AT338" s="97"/>
      <c r="AU338" s="97"/>
      <c r="AV338" s="97"/>
      <c r="AW338" s="97"/>
      <c r="AX338" s="97"/>
      <c r="AY338" s="97"/>
      <c r="AZ338" s="97"/>
      <c r="BA338" s="97"/>
      <c r="BB338" s="97"/>
      <c r="BC338" s="97"/>
      <c r="BD338" s="97"/>
      <c r="BE338" s="97"/>
    </row>
    <row r="339" s="115" customFormat="1" customHeight="1" spans="1:57">
      <c r="A339" s="115" t="s">
        <v>4686</v>
      </c>
      <c r="B339" s="111" t="s">
        <v>4687</v>
      </c>
      <c r="C339" s="111" t="s">
        <v>4688</v>
      </c>
      <c r="D339" s="121" t="s">
        <v>4689</v>
      </c>
      <c r="E339" s="266">
        <v>13783682967</v>
      </c>
      <c r="F339" s="267">
        <v>3</v>
      </c>
      <c r="G339" s="268">
        <v>3592</v>
      </c>
      <c r="H339" s="268">
        <v>18.85</v>
      </c>
      <c r="I339" s="274" t="s">
        <v>2657</v>
      </c>
      <c r="J339" s="113" t="s">
        <v>4690</v>
      </c>
      <c r="K339" s="266">
        <v>16.64</v>
      </c>
      <c r="L339" s="266" t="s">
        <v>2890</v>
      </c>
      <c r="M339" s="275" t="s">
        <v>4691</v>
      </c>
      <c r="N339" s="113" t="s">
        <v>66</v>
      </c>
      <c r="O339" s="113"/>
      <c r="P339" s="113"/>
      <c r="Q339" s="113">
        <v>31961.6</v>
      </c>
      <c r="R339" s="113">
        <v>602476</v>
      </c>
      <c r="S339" s="280">
        <v>302476</v>
      </c>
      <c r="T339" s="281"/>
      <c r="U339" s="280">
        <v>300000</v>
      </c>
      <c r="V339" s="280">
        <v>1225</v>
      </c>
      <c r="W339" s="280">
        <v>550</v>
      </c>
      <c r="X339" s="280"/>
      <c r="Y339" s="113" t="s">
        <v>2669</v>
      </c>
      <c r="Z339" s="113" t="s">
        <v>48</v>
      </c>
      <c r="AA339" s="275">
        <v>44023</v>
      </c>
      <c r="AB339" s="113"/>
      <c r="AC339" s="113">
        <v>1250</v>
      </c>
      <c r="AD339" s="113"/>
      <c r="AE339" s="133"/>
      <c r="AG339" s="133"/>
      <c r="AH339" s="133"/>
      <c r="AI339" s="132">
        <f t="shared" si="108"/>
        <v>605501</v>
      </c>
      <c r="AJ339" s="132">
        <f t="shared" si="109"/>
        <v>604251</v>
      </c>
      <c r="AK339" s="133">
        <f t="shared" si="110"/>
        <v>1250</v>
      </c>
      <c r="AL339" s="132"/>
      <c r="AM339" s="133"/>
      <c r="AN339" s="246">
        <v>44841</v>
      </c>
      <c r="AO339" s="137"/>
      <c r="AP339" s="97"/>
      <c r="AQ339" s="97"/>
      <c r="AR339" s="97"/>
      <c r="AS339" s="97"/>
      <c r="AT339" s="97"/>
      <c r="AU339" s="97"/>
      <c r="AV339" s="97"/>
      <c r="AW339" s="97"/>
      <c r="AX339" s="97"/>
      <c r="AY339" s="97"/>
      <c r="AZ339" s="97"/>
      <c r="BA339" s="97"/>
      <c r="BB339" s="97"/>
      <c r="BC339" s="97"/>
      <c r="BD339" s="97"/>
      <c r="BE339" s="97"/>
    </row>
    <row r="340" s="115" customFormat="1" customHeight="1" spans="1:57">
      <c r="A340" s="115" t="s">
        <v>4692</v>
      </c>
      <c r="B340" s="111" t="s">
        <v>4693</v>
      </c>
      <c r="C340" s="111" t="s">
        <v>4694</v>
      </c>
      <c r="D340" s="121" t="s">
        <v>4695</v>
      </c>
      <c r="E340" s="266">
        <v>13260026994</v>
      </c>
      <c r="F340" s="267">
        <v>3</v>
      </c>
      <c r="G340" s="268">
        <v>3638</v>
      </c>
      <c r="H340" s="268">
        <v>20.12</v>
      </c>
      <c r="I340" s="274" t="s">
        <v>2657</v>
      </c>
      <c r="J340" s="113" t="s">
        <v>4696</v>
      </c>
      <c r="K340" s="266">
        <v>19.82</v>
      </c>
      <c r="L340" s="266" t="s">
        <v>2890</v>
      </c>
      <c r="M340" s="275" t="s">
        <v>3017</v>
      </c>
      <c r="N340" s="113" t="s">
        <v>66</v>
      </c>
      <c r="O340" s="113"/>
      <c r="P340" s="113"/>
      <c r="Q340" s="113">
        <v>31468.04</v>
      </c>
      <c r="R340" s="113">
        <v>633137</v>
      </c>
      <c r="S340" s="280">
        <v>323137</v>
      </c>
      <c r="T340" s="281"/>
      <c r="U340" s="280">
        <v>310000</v>
      </c>
      <c r="V340" s="280">
        <v>1307</v>
      </c>
      <c r="W340" s="280">
        <v>550</v>
      </c>
      <c r="X340" s="280"/>
      <c r="Y340" s="113" t="s">
        <v>2669</v>
      </c>
      <c r="Z340" s="113" t="s">
        <v>48</v>
      </c>
      <c r="AA340" s="275">
        <v>44019</v>
      </c>
      <c r="AB340" s="113"/>
      <c r="AC340" s="113">
        <v>1251</v>
      </c>
      <c r="AD340" s="113"/>
      <c r="AE340" s="133"/>
      <c r="AG340" s="133"/>
      <c r="AH340" s="133"/>
      <c r="AI340" s="132">
        <f t="shared" si="108"/>
        <v>636245</v>
      </c>
      <c r="AJ340" s="132">
        <f t="shared" si="109"/>
        <v>634994</v>
      </c>
      <c r="AK340" s="133">
        <f t="shared" si="110"/>
        <v>1251</v>
      </c>
      <c r="AL340" s="132"/>
      <c r="AM340" s="133"/>
      <c r="AN340" s="246">
        <v>44841</v>
      </c>
      <c r="AO340" s="137"/>
      <c r="AP340" s="97"/>
      <c r="AQ340" s="97"/>
      <c r="AR340" s="97"/>
      <c r="AS340" s="97"/>
      <c r="AT340" s="97"/>
      <c r="AU340" s="97"/>
      <c r="AV340" s="97"/>
      <c r="AW340" s="97"/>
      <c r="AX340" s="97"/>
      <c r="AY340" s="97"/>
      <c r="AZ340" s="97"/>
      <c r="BA340" s="97"/>
      <c r="BB340" s="97"/>
      <c r="BC340" s="97"/>
      <c r="BD340" s="97"/>
      <c r="BE340" s="97"/>
    </row>
    <row r="341" s="115" customFormat="1" customHeight="1" spans="1:57">
      <c r="A341" s="115" t="s">
        <v>4697</v>
      </c>
      <c r="B341" s="111" t="s">
        <v>4698</v>
      </c>
      <c r="C341" s="111" t="s">
        <v>4699</v>
      </c>
      <c r="D341" s="121" t="s">
        <v>4700</v>
      </c>
      <c r="E341" s="266">
        <v>15039085505</v>
      </c>
      <c r="F341" s="267">
        <v>3</v>
      </c>
      <c r="G341" s="268">
        <v>3635</v>
      </c>
      <c r="H341" s="268">
        <v>20.12</v>
      </c>
      <c r="I341" s="274" t="s">
        <v>2657</v>
      </c>
      <c r="J341" s="113" t="s">
        <v>4701</v>
      </c>
      <c r="K341" s="266">
        <v>20.39</v>
      </c>
      <c r="L341" s="266" t="s">
        <v>4670</v>
      </c>
      <c r="M341" s="275" t="s">
        <v>4702</v>
      </c>
      <c r="N341" s="113" t="s">
        <v>66</v>
      </c>
      <c r="O341" s="113"/>
      <c r="P341" s="113"/>
      <c r="Q341" s="113">
        <v>31297.74</v>
      </c>
      <c r="R341" s="113">
        <v>629711</v>
      </c>
      <c r="S341" s="280">
        <v>329711</v>
      </c>
      <c r="T341" s="281">
        <f t="shared" ref="T341:T346" si="111">R341-S341</f>
        <v>300000</v>
      </c>
      <c r="U341" s="280"/>
      <c r="V341" s="280"/>
      <c r="W341" s="280"/>
      <c r="X341" s="280"/>
      <c r="Y341" s="113"/>
      <c r="Z341" s="113"/>
      <c r="AA341" s="275"/>
      <c r="AB341" s="113"/>
      <c r="AC341" s="113"/>
      <c r="AD341" s="113"/>
      <c r="AE341" s="133"/>
      <c r="AG341" s="133"/>
      <c r="AH341" s="133"/>
      <c r="AI341" s="132">
        <f t="shared" si="108"/>
        <v>329711</v>
      </c>
      <c r="AJ341" s="132">
        <f t="shared" si="109"/>
        <v>329711</v>
      </c>
      <c r="AK341" s="133">
        <f t="shared" si="110"/>
        <v>0</v>
      </c>
      <c r="AL341" s="132"/>
      <c r="AM341" s="133"/>
      <c r="AN341" s="246">
        <v>44841</v>
      </c>
      <c r="AO341" s="137"/>
      <c r="AP341" s="97"/>
      <c r="AQ341" s="97"/>
      <c r="AR341" s="97"/>
      <c r="AS341" s="97"/>
      <c r="AT341" s="97"/>
      <c r="AU341" s="97"/>
      <c r="AV341" s="97"/>
      <c r="AW341" s="97"/>
      <c r="AX341" s="97"/>
      <c r="AY341" s="97"/>
      <c r="AZ341" s="97"/>
      <c r="BA341" s="97"/>
      <c r="BB341" s="97"/>
      <c r="BC341" s="97"/>
      <c r="BD341" s="97"/>
      <c r="BE341" s="97"/>
    </row>
    <row r="342" s="115" customFormat="1" customHeight="1" spans="1:57">
      <c r="A342" s="115" t="s">
        <v>4703</v>
      </c>
      <c r="B342" s="111" t="s">
        <v>4704</v>
      </c>
      <c r="C342" s="554" t="s">
        <v>4705</v>
      </c>
      <c r="D342" s="121" t="s">
        <v>4706</v>
      </c>
      <c r="E342" s="266">
        <v>18903827088</v>
      </c>
      <c r="F342" s="267">
        <v>1</v>
      </c>
      <c r="G342" s="268">
        <v>1251</v>
      </c>
      <c r="H342" s="268">
        <v>17.25</v>
      </c>
      <c r="I342" s="274" t="s">
        <v>2657</v>
      </c>
      <c r="J342" s="113" t="s">
        <v>4707</v>
      </c>
      <c r="K342" s="266">
        <v>21.24</v>
      </c>
      <c r="L342" s="266" t="s">
        <v>4708</v>
      </c>
      <c r="M342" s="275" t="s">
        <v>4709</v>
      </c>
      <c r="N342" s="113" t="s">
        <v>66</v>
      </c>
      <c r="O342" s="113"/>
      <c r="P342" s="113"/>
      <c r="Q342" s="113">
        <v>47178.2</v>
      </c>
      <c r="R342" s="113">
        <v>990742</v>
      </c>
      <c r="S342" s="280">
        <v>510742</v>
      </c>
      <c r="T342" s="281">
        <f t="shared" si="111"/>
        <v>480000</v>
      </c>
      <c r="U342" s="280"/>
      <c r="V342" s="280">
        <v>1365</v>
      </c>
      <c r="W342" s="280">
        <v>550</v>
      </c>
      <c r="X342" s="280"/>
      <c r="Y342" s="113"/>
      <c r="Z342" s="113"/>
      <c r="AA342" s="275"/>
      <c r="AB342" s="113"/>
      <c r="AC342" s="113"/>
      <c r="AD342" s="113"/>
      <c r="AE342" s="133"/>
      <c r="AF342" s="115" t="s">
        <v>237</v>
      </c>
      <c r="AG342" s="133"/>
      <c r="AH342" s="133"/>
      <c r="AI342" s="132">
        <f t="shared" si="108"/>
        <v>512657</v>
      </c>
      <c r="AJ342" s="132">
        <f t="shared" si="109"/>
        <v>512657</v>
      </c>
      <c r="AK342" s="133">
        <f t="shared" si="110"/>
        <v>0</v>
      </c>
      <c r="AL342" s="132"/>
      <c r="AM342" s="133"/>
      <c r="AN342" s="246">
        <v>44841</v>
      </c>
      <c r="AO342" s="137"/>
      <c r="AP342" s="97"/>
      <c r="AQ342" s="97"/>
      <c r="AR342" s="97"/>
      <c r="AS342" s="97"/>
      <c r="AT342" s="97"/>
      <c r="AU342" s="97"/>
      <c r="AV342" s="97"/>
      <c r="AW342" s="97"/>
      <c r="AX342" s="97"/>
      <c r="AY342" s="97"/>
      <c r="AZ342" s="97"/>
      <c r="BA342" s="97"/>
      <c r="BB342" s="97"/>
      <c r="BC342" s="97"/>
      <c r="BD342" s="97"/>
      <c r="BE342" s="97"/>
    </row>
    <row r="343" s="115" customFormat="1" customHeight="1" spans="1:57">
      <c r="A343" s="115" t="s">
        <v>4710</v>
      </c>
      <c r="B343" s="111" t="s">
        <v>4711</v>
      </c>
      <c r="C343" s="111" t="s">
        <v>4712</v>
      </c>
      <c r="D343" s="121" t="s">
        <v>4713</v>
      </c>
      <c r="E343" s="266">
        <v>13939471188</v>
      </c>
      <c r="F343" s="267">
        <v>3</v>
      </c>
      <c r="G343" s="268">
        <v>3948</v>
      </c>
      <c r="H343" s="268">
        <v>20.84</v>
      </c>
      <c r="I343" s="274" t="s">
        <v>2657</v>
      </c>
      <c r="J343" s="113" t="s">
        <v>4714</v>
      </c>
      <c r="K343" s="266">
        <v>20.76</v>
      </c>
      <c r="L343" s="266" t="s">
        <v>4715</v>
      </c>
      <c r="M343" s="275" t="s">
        <v>4663</v>
      </c>
      <c r="N343" s="113" t="s">
        <v>66</v>
      </c>
      <c r="O343" s="113"/>
      <c r="P343" s="113"/>
      <c r="Q343" s="113">
        <v>31310.21</v>
      </c>
      <c r="R343" s="113">
        <v>652505</v>
      </c>
      <c r="S343" s="280">
        <v>332505</v>
      </c>
      <c r="T343" s="281">
        <f t="shared" si="111"/>
        <v>320000</v>
      </c>
      <c r="U343" s="280"/>
      <c r="V343" s="280">
        <v>1354</v>
      </c>
      <c r="W343" s="280">
        <v>550</v>
      </c>
      <c r="X343" s="280"/>
      <c r="Y343" s="113"/>
      <c r="Z343" s="113"/>
      <c r="AA343" s="275"/>
      <c r="AB343" s="113"/>
      <c r="AC343" s="113"/>
      <c r="AD343" s="113"/>
      <c r="AE343" s="133"/>
      <c r="AG343" s="133" t="s">
        <v>4716</v>
      </c>
      <c r="AH343" s="133"/>
      <c r="AI343" s="132">
        <f t="shared" ref="AI343:AI354" si="112">S343+U343+V343+W343+X343+AC343+AD343+AE343</f>
        <v>334409</v>
      </c>
      <c r="AJ343" s="132">
        <f t="shared" ref="AJ343:AJ354" si="113">S343+U343+V343+W343+X343</f>
        <v>334409</v>
      </c>
      <c r="AK343" s="133">
        <f t="shared" ref="AK343:AK354" si="114">AI343-AJ343</f>
        <v>0</v>
      </c>
      <c r="AL343" s="132"/>
      <c r="AM343" s="133"/>
      <c r="AN343" s="246">
        <v>44841</v>
      </c>
      <c r="AO343" s="137"/>
      <c r="AP343" s="97"/>
      <c r="AQ343" s="97"/>
      <c r="AR343" s="97"/>
      <c r="AS343" s="97"/>
      <c r="AT343" s="97"/>
      <c r="AU343" s="97"/>
      <c r="AV343" s="97"/>
      <c r="AW343" s="97"/>
      <c r="AX343" s="97"/>
      <c r="AY343" s="97"/>
      <c r="AZ343" s="97"/>
      <c r="BA343" s="97"/>
      <c r="BB343" s="97"/>
      <c r="BC343" s="97"/>
      <c r="BD343" s="97"/>
      <c r="BE343" s="97"/>
    </row>
    <row r="344" s="115" customFormat="1" customHeight="1" spans="1:57">
      <c r="A344" s="115" t="s">
        <v>4717</v>
      </c>
      <c r="B344" s="111" t="s">
        <v>4718</v>
      </c>
      <c r="C344" s="111" t="s">
        <v>4719</v>
      </c>
      <c r="D344" s="121" t="s">
        <v>4720</v>
      </c>
      <c r="E344" s="266">
        <v>15093476019</v>
      </c>
      <c r="F344" s="267">
        <v>3</v>
      </c>
      <c r="G344" s="268">
        <v>3158</v>
      </c>
      <c r="H344" s="268">
        <v>26.01</v>
      </c>
      <c r="I344" s="274" t="s">
        <v>2657</v>
      </c>
      <c r="J344" s="113" t="s">
        <v>4721</v>
      </c>
      <c r="K344" s="266">
        <v>17.53</v>
      </c>
      <c r="L344" s="266" t="s">
        <v>3073</v>
      </c>
      <c r="M344" s="275" t="s">
        <v>2954</v>
      </c>
      <c r="N344" s="113" t="s">
        <v>66</v>
      </c>
      <c r="O344" s="113"/>
      <c r="P344" s="113"/>
      <c r="Q344" s="113">
        <v>31622.36</v>
      </c>
      <c r="R344" s="113">
        <v>554340</v>
      </c>
      <c r="S344" s="280">
        <v>284340</v>
      </c>
      <c r="T344" s="281">
        <f t="shared" si="111"/>
        <v>270000</v>
      </c>
      <c r="U344" s="280"/>
      <c r="V344" s="280"/>
      <c r="W344" s="280"/>
      <c r="X344" s="280"/>
      <c r="Y344" s="113"/>
      <c r="Z344" s="113"/>
      <c r="AA344" s="275"/>
      <c r="AB344" s="113"/>
      <c r="AC344" s="113"/>
      <c r="AD344" s="113"/>
      <c r="AE344" s="133"/>
      <c r="AG344" s="133"/>
      <c r="AH344" s="133"/>
      <c r="AI344" s="132">
        <f t="shared" si="112"/>
        <v>284340</v>
      </c>
      <c r="AJ344" s="132">
        <f t="shared" si="113"/>
        <v>284340</v>
      </c>
      <c r="AK344" s="133">
        <f t="shared" si="114"/>
        <v>0</v>
      </c>
      <c r="AL344" s="132"/>
      <c r="AM344" s="133"/>
      <c r="AN344" s="246">
        <v>44841</v>
      </c>
      <c r="AO344" s="137"/>
      <c r="AP344" s="97"/>
      <c r="AQ344" s="97"/>
      <c r="AR344" s="97"/>
      <c r="AS344" s="97"/>
      <c r="AT344" s="97"/>
      <c r="AU344" s="97"/>
      <c r="AV344" s="97"/>
      <c r="AW344" s="97"/>
      <c r="AX344" s="97"/>
      <c r="AY344" s="97"/>
      <c r="AZ344" s="97"/>
      <c r="BA344" s="97"/>
      <c r="BB344" s="97"/>
      <c r="BC344" s="97"/>
      <c r="BD344" s="97"/>
      <c r="BE344" s="97"/>
    </row>
    <row r="345" s="115" customFormat="1" customHeight="1" spans="1:57">
      <c r="A345" s="115" t="s">
        <v>4722</v>
      </c>
      <c r="B345" s="111" t="s">
        <v>4723</v>
      </c>
      <c r="C345" s="554" t="s">
        <v>4724</v>
      </c>
      <c r="D345" s="121" t="s">
        <v>4725</v>
      </c>
      <c r="E345" s="266" t="s">
        <v>4726</v>
      </c>
      <c r="F345" s="267">
        <v>1</v>
      </c>
      <c r="G345" s="268">
        <v>1299</v>
      </c>
      <c r="H345" s="268">
        <v>19.58</v>
      </c>
      <c r="I345" s="274" t="s">
        <v>2657</v>
      </c>
      <c r="J345" s="113" t="s">
        <v>4727</v>
      </c>
      <c r="K345" s="266">
        <v>19.4</v>
      </c>
      <c r="L345" s="266" t="s">
        <v>4728</v>
      </c>
      <c r="M345" s="275" t="s">
        <v>2685</v>
      </c>
      <c r="N345" s="113" t="s">
        <v>66</v>
      </c>
      <c r="O345" s="113"/>
      <c r="P345" s="113"/>
      <c r="Q345" s="113">
        <v>47938.14</v>
      </c>
      <c r="R345" s="113">
        <v>938629</v>
      </c>
      <c r="S345" s="280">
        <v>478629</v>
      </c>
      <c r="T345" s="281">
        <f t="shared" si="111"/>
        <v>460000</v>
      </c>
      <c r="U345" s="280"/>
      <c r="V345" s="280">
        <v>1272</v>
      </c>
      <c r="W345" s="280">
        <v>550</v>
      </c>
      <c r="X345" s="280"/>
      <c r="Y345" s="113" t="s">
        <v>2669</v>
      </c>
      <c r="Z345" s="113"/>
      <c r="AA345" s="275"/>
      <c r="AB345" s="113" t="s">
        <v>4729</v>
      </c>
      <c r="AC345" s="113">
        <v>1266</v>
      </c>
      <c r="AD345" s="113"/>
      <c r="AE345" s="133"/>
      <c r="AF345" s="115" t="s">
        <v>237</v>
      </c>
      <c r="AG345" s="133" t="s">
        <v>4730</v>
      </c>
      <c r="AH345" s="133"/>
      <c r="AI345" s="132">
        <f t="shared" si="112"/>
        <v>481717</v>
      </c>
      <c r="AJ345" s="132">
        <f t="shared" si="113"/>
        <v>480451</v>
      </c>
      <c r="AK345" s="133">
        <f t="shared" si="114"/>
        <v>1266</v>
      </c>
      <c r="AL345" s="132"/>
      <c r="AM345" s="133"/>
      <c r="AN345" s="246">
        <v>44841</v>
      </c>
      <c r="AO345" s="137"/>
      <c r="AP345" s="97"/>
      <c r="AQ345" s="97"/>
      <c r="AR345" s="97"/>
      <c r="AS345" s="97"/>
      <c r="AT345" s="97"/>
      <c r="AU345" s="97"/>
      <c r="AV345" s="97"/>
      <c r="AW345" s="97"/>
      <c r="AX345" s="97"/>
      <c r="AY345" s="97"/>
      <c r="AZ345" s="97"/>
      <c r="BA345" s="97"/>
      <c r="BB345" s="97"/>
      <c r="BC345" s="97"/>
      <c r="BD345" s="97"/>
      <c r="BE345" s="97"/>
    </row>
    <row r="346" s="115" customFormat="1" customHeight="1" spans="1:57">
      <c r="A346" s="115" t="s">
        <v>4731</v>
      </c>
      <c r="B346" s="111" t="s">
        <v>4732</v>
      </c>
      <c r="C346" s="111" t="s">
        <v>4733</v>
      </c>
      <c r="D346" s="121" t="s">
        <v>4734</v>
      </c>
      <c r="E346" s="266" t="s">
        <v>4735</v>
      </c>
      <c r="F346" s="267">
        <v>3</v>
      </c>
      <c r="G346" s="268">
        <v>3814</v>
      </c>
      <c r="H346" s="268">
        <v>17.77</v>
      </c>
      <c r="I346" s="274" t="s">
        <v>2657</v>
      </c>
      <c r="J346" s="113" t="s">
        <v>4736</v>
      </c>
      <c r="K346" s="266">
        <v>14.52</v>
      </c>
      <c r="L346" s="266" t="s">
        <v>4587</v>
      </c>
      <c r="M346" s="275" t="s">
        <v>3008</v>
      </c>
      <c r="N346" s="113" t="s">
        <v>66</v>
      </c>
      <c r="O346" s="113"/>
      <c r="P346" s="113"/>
      <c r="Q346" s="113">
        <v>32337.33</v>
      </c>
      <c r="R346" s="113">
        <v>469538</v>
      </c>
      <c r="S346" s="280">
        <v>239538</v>
      </c>
      <c r="T346" s="281">
        <f t="shared" si="111"/>
        <v>230000</v>
      </c>
      <c r="U346" s="280"/>
      <c r="V346" s="280">
        <v>2008</v>
      </c>
      <c r="W346" s="280"/>
      <c r="X346" s="280"/>
      <c r="Y346" s="113"/>
      <c r="Z346" s="113"/>
      <c r="AA346" s="275"/>
      <c r="AB346" s="113" t="s">
        <v>4737</v>
      </c>
      <c r="AC346" s="113"/>
      <c r="AD346" s="113"/>
      <c r="AE346" s="133"/>
      <c r="AG346" s="133"/>
      <c r="AH346" s="133"/>
      <c r="AI346" s="132">
        <f t="shared" si="112"/>
        <v>241546</v>
      </c>
      <c r="AJ346" s="132">
        <f t="shared" si="113"/>
        <v>241546</v>
      </c>
      <c r="AK346" s="133">
        <f t="shared" si="114"/>
        <v>0</v>
      </c>
      <c r="AL346" s="132"/>
      <c r="AM346" s="133"/>
      <c r="AN346" s="246">
        <v>44841</v>
      </c>
      <c r="AO346" s="137"/>
      <c r="AP346" s="97"/>
      <c r="AQ346" s="97"/>
      <c r="AR346" s="97"/>
      <c r="AS346" s="97"/>
      <c r="AT346" s="97"/>
      <c r="AU346" s="97"/>
      <c r="AV346" s="97"/>
      <c r="AW346" s="97"/>
      <c r="AX346" s="97"/>
      <c r="AY346" s="97"/>
      <c r="AZ346" s="97"/>
      <c r="BA346" s="97"/>
      <c r="BB346" s="97"/>
      <c r="BC346" s="97"/>
      <c r="BD346" s="97"/>
      <c r="BE346" s="97"/>
    </row>
    <row r="347" s="115" customFormat="1" customHeight="1" spans="1:57">
      <c r="A347" s="115" t="s">
        <v>4738</v>
      </c>
      <c r="B347" s="111" t="s">
        <v>4739</v>
      </c>
      <c r="C347" s="111" t="s">
        <v>4740</v>
      </c>
      <c r="D347" s="121" t="s">
        <v>4741</v>
      </c>
      <c r="E347" s="266">
        <v>17337673666</v>
      </c>
      <c r="F347" s="267">
        <v>3</v>
      </c>
      <c r="G347" s="268">
        <v>3167</v>
      </c>
      <c r="H347" s="268">
        <v>30.83</v>
      </c>
      <c r="I347" s="274" t="s">
        <v>2657</v>
      </c>
      <c r="J347" s="113" t="s">
        <v>4742</v>
      </c>
      <c r="K347" s="266">
        <v>24.56</v>
      </c>
      <c r="L347" s="266" t="s">
        <v>4670</v>
      </c>
      <c r="M347" s="275" t="s">
        <v>3490</v>
      </c>
      <c r="N347" s="113" t="s">
        <v>66</v>
      </c>
      <c r="O347" s="113"/>
      <c r="P347" s="113"/>
      <c r="Q347" s="113">
        <v>31841.69</v>
      </c>
      <c r="R347" s="113">
        <v>782032</v>
      </c>
      <c r="S347" s="280">
        <v>392032</v>
      </c>
      <c r="T347" s="281">
        <v>390000</v>
      </c>
      <c r="U347" s="280"/>
      <c r="V347" s="280"/>
      <c r="W347" s="280"/>
      <c r="X347" s="280"/>
      <c r="Y347" s="113"/>
      <c r="Z347" s="113"/>
      <c r="AA347" s="275"/>
      <c r="AB347" s="113"/>
      <c r="AC347" s="113"/>
      <c r="AD347" s="113"/>
      <c r="AE347" s="133"/>
      <c r="AG347" s="133"/>
      <c r="AH347" s="133"/>
      <c r="AI347" s="132">
        <f t="shared" si="112"/>
        <v>392032</v>
      </c>
      <c r="AJ347" s="132">
        <f t="shared" si="113"/>
        <v>392032</v>
      </c>
      <c r="AK347" s="133">
        <f t="shared" si="114"/>
        <v>0</v>
      </c>
      <c r="AL347" s="132"/>
      <c r="AM347" s="133"/>
      <c r="AN347" s="246">
        <v>44841</v>
      </c>
      <c r="AO347" s="137"/>
      <c r="AP347" s="97"/>
      <c r="AQ347" s="97"/>
      <c r="AR347" s="97"/>
      <c r="AS347" s="97"/>
      <c r="AT347" s="97"/>
      <c r="AU347" s="97"/>
      <c r="AV347" s="97"/>
      <c r="AW347" s="97"/>
      <c r="AX347" s="97"/>
      <c r="AY347" s="97"/>
      <c r="AZ347" s="97"/>
      <c r="BA347" s="97"/>
      <c r="BB347" s="97"/>
      <c r="BC347" s="97"/>
      <c r="BD347" s="97"/>
      <c r="BE347" s="97"/>
    </row>
    <row r="348" s="115" customFormat="1" customHeight="1" spans="1:57">
      <c r="A348" s="115" t="s">
        <v>4743</v>
      </c>
      <c r="B348" s="111" t="s">
        <v>4744</v>
      </c>
      <c r="C348" s="111" t="s">
        <v>4745</v>
      </c>
      <c r="D348" s="121" t="s">
        <v>4746</v>
      </c>
      <c r="E348" s="266">
        <v>13939092054</v>
      </c>
      <c r="F348" s="267">
        <v>3</v>
      </c>
      <c r="G348" s="268">
        <v>3367</v>
      </c>
      <c r="H348" s="268">
        <v>19.42</v>
      </c>
      <c r="I348" s="274" t="s">
        <v>2657</v>
      </c>
      <c r="J348" s="113" t="s">
        <v>4747</v>
      </c>
      <c r="K348" s="266">
        <v>17.91</v>
      </c>
      <c r="L348" s="266" t="s">
        <v>2676</v>
      </c>
      <c r="M348" s="275" t="s">
        <v>3842</v>
      </c>
      <c r="N348" s="113" t="s">
        <v>66</v>
      </c>
      <c r="O348" s="113"/>
      <c r="P348" s="113"/>
      <c r="Q348" s="113">
        <v>30123.58</v>
      </c>
      <c r="R348" s="113">
        <v>585000</v>
      </c>
      <c r="S348" s="280">
        <v>295000</v>
      </c>
      <c r="T348" s="281"/>
      <c r="U348" s="280">
        <v>290000</v>
      </c>
      <c r="V348" s="280">
        <v>1262</v>
      </c>
      <c r="W348" s="280">
        <v>550</v>
      </c>
      <c r="X348" s="280"/>
      <c r="Y348" s="113" t="s">
        <v>2669</v>
      </c>
      <c r="Z348" s="113" t="s">
        <v>48</v>
      </c>
      <c r="AA348" s="275">
        <v>44022</v>
      </c>
      <c r="AB348" s="113" t="s">
        <v>4748</v>
      </c>
      <c r="AC348" s="113"/>
      <c r="AD348" s="113"/>
      <c r="AE348" s="133"/>
      <c r="AG348" s="133"/>
      <c r="AH348" s="133"/>
      <c r="AI348" s="132">
        <f t="shared" si="112"/>
        <v>586812</v>
      </c>
      <c r="AJ348" s="132">
        <f t="shared" si="113"/>
        <v>586812</v>
      </c>
      <c r="AK348" s="133">
        <f t="shared" si="114"/>
        <v>0</v>
      </c>
      <c r="AL348" s="132"/>
      <c r="AM348" s="133"/>
      <c r="AN348" s="246">
        <v>44841</v>
      </c>
      <c r="AO348" s="137"/>
      <c r="AP348" s="97"/>
      <c r="AQ348" s="97"/>
      <c r="AR348" s="97"/>
      <c r="AS348" s="97"/>
      <c r="AT348" s="97"/>
      <c r="AU348" s="97"/>
      <c r="AV348" s="97"/>
      <c r="AW348" s="97"/>
      <c r="AX348" s="97"/>
      <c r="AY348" s="97"/>
      <c r="AZ348" s="97"/>
      <c r="BA348" s="97"/>
      <c r="BB348" s="97"/>
      <c r="BC348" s="97"/>
      <c r="BD348" s="97"/>
      <c r="BE348" s="97"/>
    </row>
    <row r="349" s="115" customFormat="1" customHeight="1" spans="1:57">
      <c r="A349" s="115" t="s">
        <v>4749</v>
      </c>
      <c r="B349" s="111" t="s">
        <v>4750</v>
      </c>
      <c r="C349" s="554" t="s">
        <v>4751</v>
      </c>
      <c r="D349" s="121" t="s">
        <v>4752</v>
      </c>
      <c r="E349" s="266">
        <v>13283701188</v>
      </c>
      <c r="F349" s="267">
        <v>1</v>
      </c>
      <c r="G349" s="268">
        <v>1592</v>
      </c>
      <c r="H349" s="268">
        <v>20.92</v>
      </c>
      <c r="I349" s="274" t="s">
        <v>2657</v>
      </c>
      <c r="J349" s="113" t="s">
        <v>4753</v>
      </c>
      <c r="K349" s="266">
        <v>22.84</v>
      </c>
      <c r="L349" s="266" t="s">
        <v>2854</v>
      </c>
      <c r="M349" s="275" t="s">
        <v>3686</v>
      </c>
      <c r="N349" s="113" t="s">
        <v>66</v>
      </c>
      <c r="O349" s="113"/>
      <c r="P349" s="113"/>
      <c r="Q349" s="113">
        <v>47723.29</v>
      </c>
      <c r="R349" s="113">
        <v>1090000</v>
      </c>
      <c r="S349" s="280">
        <v>550000</v>
      </c>
      <c r="T349" s="281">
        <f t="shared" ref="T349:T363" si="115">R349-S349</f>
        <v>540000</v>
      </c>
      <c r="U349" s="280"/>
      <c r="V349" s="280"/>
      <c r="W349" s="280"/>
      <c r="X349" s="280"/>
      <c r="Y349" s="113"/>
      <c r="Z349" s="113"/>
      <c r="AA349" s="275"/>
      <c r="AB349" s="113"/>
      <c r="AC349" s="113"/>
      <c r="AD349" s="113"/>
      <c r="AE349" s="133"/>
      <c r="AF349" s="115" t="s">
        <v>237</v>
      </c>
      <c r="AG349" s="133"/>
      <c r="AH349" s="133"/>
      <c r="AI349" s="132">
        <f t="shared" si="112"/>
        <v>550000</v>
      </c>
      <c r="AJ349" s="132">
        <f t="shared" si="113"/>
        <v>550000</v>
      </c>
      <c r="AK349" s="133">
        <f t="shared" si="114"/>
        <v>0</v>
      </c>
      <c r="AL349" s="132"/>
      <c r="AM349" s="133"/>
      <c r="AN349" s="246">
        <v>44841</v>
      </c>
      <c r="AO349" s="137"/>
      <c r="AP349" s="97"/>
      <c r="AQ349" s="97"/>
      <c r="AR349" s="97"/>
      <c r="AS349" s="97"/>
      <c r="AT349" s="97"/>
      <c r="AU349" s="97"/>
      <c r="AV349" s="97"/>
      <c r="AW349" s="97"/>
      <c r="AX349" s="97"/>
      <c r="AY349" s="97"/>
      <c r="AZ349" s="97"/>
      <c r="BA349" s="97"/>
      <c r="BB349" s="97"/>
      <c r="BC349" s="97"/>
      <c r="BD349" s="97"/>
      <c r="BE349" s="97"/>
    </row>
    <row r="350" s="115" customFormat="1" customHeight="1" spans="1:57">
      <c r="A350" s="115" t="s">
        <v>4754</v>
      </c>
      <c r="B350" s="111" t="s">
        <v>4755</v>
      </c>
      <c r="C350" s="111" t="s">
        <v>4756</v>
      </c>
      <c r="D350" s="121" t="s">
        <v>4757</v>
      </c>
      <c r="E350" s="266">
        <v>13939086244</v>
      </c>
      <c r="F350" s="267">
        <v>4</v>
      </c>
      <c r="G350" s="268">
        <v>442</v>
      </c>
      <c r="H350" s="268">
        <v>10.43</v>
      </c>
      <c r="I350" s="274" t="s">
        <v>2657</v>
      </c>
      <c r="J350" s="113" t="s">
        <v>4758</v>
      </c>
      <c r="K350" s="266">
        <v>16.16</v>
      </c>
      <c r="L350" s="266" t="s">
        <v>2762</v>
      </c>
      <c r="M350" s="275" t="s">
        <v>2814</v>
      </c>
      <c r="N350" s="113" t="s">
        <v>56</v>
      </c>
      <c r="O350" s="113"/>
      <c r="P350" s="113"/>
      <c r="Q350" s="113">
        <v>25606.71</v>
      </c>
      <c r="R350" s="113">
        <v>267078</v>
      </c>
      <c r="S350" s="280">
        <v>267078</v>
      </c>
      <c r="T350" s="281">
        <f t="shared" si="115"/>
        <v>0</v>
      </c>
      <c r="U350" s="280"/>
      <c r="V350" s="280">
        <v>677</v>
      </c>
      <c r="W350" s="280">
        <v>550</v>
      </c>
      <c r="X350" s="280"/>
      <c r="Y350" s="113" t="s">
        <v>2669</v>
      </c>
      <c r="Z350" s="113" t="s">
        <v>48</v>
      </c>
      <c r="AA350" s="275">
        <v>44023</v>
      </c>
      <c r="AB350" s="113"/>
      <c r="AC350" s="113"/>
      <c r="AD350" s="113"/>
      <c r="AE350" s="133"/>
      <c r="AG350" s="133"/>
      <c r="AH350" s="133"/>
      <c r="AI350" s="132">
        <f t="shared" si="112"/>
        <v>268305</v>
      </c>
      <c r="AJ350" s="132">
        <f t="shared" si="113"/>
        <v>268305</v>
      </c>
      <c r="AK350" s="133">
        <f t="shared" si="114"/>
        <v>0</v>
      </c>
      <c r="AL350" s="132"/>
      <c r="AM350" s="133"/>
      <c r="AN350" s="246">
        <v>44841</v>
      </c>
      <c r="AO350" s="137"/>
      <c r="AP350" s="97"/>
      <c r="AQ350" s="97"/>
      <c r="AR350" s="97"/>
      <c r="AS350" s="97"/>
      <c r="AT350" s="97"/>
      <c r="AU350" s="97"/>
      <c r="AV350" s="97"/>
      <c r="AW350" s="97"/>
      <c r="AX350" s="97"/>
      <c r="AY350" s="97"/>
      <c r="AZ350" s="97"/>
      <c r="BA350" s="97"/>
      <c r="BB350" s="97"/>
      <c r="BC350" s="97"/>
      <c r="BD350" s="97"/>
      <c r="BE350" s="97"/>
    </row>
    <row r="351" s="115" customFormat="1" customHeight="1" spans="1:57">
      <c r="A351" s="115" t="s">
        <v>4759</v>
      </c>
      <c r="B351" s="111" t="s">
        <v>4760</v>
      </c>
      <c r="C351" s="111" t="s">
        <v>4761</v>
      </c>
      <c r="D351" s="121" t="s">
        <v>4762</v>
      </c>
      <c r="E351" s="266">
        <v>13592613018</v>
      </c>
      <c r="F351" s="267">
        <v>3</v>
      </c>
      <c r="G351" s="268">
        <v>3719</v>
      </c>
      <c r="H351" s="268">
        <v>16.74</v>
      </c>
      <c r="I351" s="274" t="s">
        <v>2657</v>
      </c>
      <c r="J351" s="113" t="s">
        <v>4763</v>
      </c>
      <c r="K351" s="266">
        <v>18.42</v>
      </c>
      <c r="L351" s="266" t="s">
        <v>2762</v>
      </c>
      <c r="M351" s="275" t="s">
        <v>4764</v>
      </c>
      <c r="N351" s="113" t="s">
        <v>56</v>
      </c>
      <c r="O351" s="113"/>
      <c r="P351" s="113"/>
      <c r="Q351" s="113">
        <v>31216.07</v>
      </c>
      <c r="R351" s="113">
        <v>522557</v>
      </c>
      <c r="S351" s="280">
        <v>522557</v>
      </c>
      <c r="T351" s="281">
        <f t="shared" si="115"/>
        <v>0</v>
      </c>
      <c r="U351" s="280"/>
      <c r="V351" s="280">
        <v>1088</v>
      </c>
      <c r="W351" s="280">
        <v>550</v>
      </c>
      <c r="X351" s="280">
        <v>50805</v>
      </c>
      <c r="Y351" s="113" t="s">
        <v>2669</v>
      </c>
      <c r="Z351" s="113"/>
      <c r="AA351" s="275"/>
      <c r="AB351" s="113"/>
      <c r="AC351" s="113"/>
      <c r="AD351" s="113"/>
      <c r="AE351" s="133"/>
      <c r="AG351" s="133"/>
      <c r="AH351" s="133"/>
      <c r="AI351" s="132">
        <f t="shared" si="112"/>
        <v>575000</v>
      </c>
      <c r="AJ351" s="132">
        <f t="shared" si="113"/>
        <v>575000</v>
      </c>
      <c r="AK351" s="133">
        <f t="shared" si="114"/>
        <v>0</v>
      </c>
      <c r="AL351" s="132"/>
      <c r="AM351" s="133"/>
      <c r="AN351" s="246">
        <v>44841</v>
      </c>
      <c r="AO351" s="137"/>
      <c r="AP351" s="97"/>
      <c r="AQ351" s="97"/>
      <c r="AR351" s="97"/>
      <c r="AS351" s="97"/>
      <c r="AT351" s="97"/>
      <c r="AU351" s="97"/>
      <c r="AV351" s="97"/>
      <c r="AW351" s="97"/>
      <c r="AX351" s="97"/>
      <c r="AY351" s="97"/>
      <c r="AZ351" s="97"/>
      <c r="BA351" s="97"/>
      <c r="BB351" s="97"/>
      <c r="BC351" s="97"/>
      <c r="BD351" s="97"/>
      <c r="BE351" s="97"/>
    </row>
    <row r="352" s="115" customFormat="1" customHeight="1" spans="1:57">
      <c r="A352" s="115" t="s">
        <v>4765</v>
      </c>
      <c r="B352" s="111" t="s">
        <v>4766</v>
      </c>
      <c r="C352" s="111" t="s">
        <v>4767</v>
      </c>
      <c r="D352" s="121" t="s">
        <v>4768</v>
      </c>
      <c r="E352" s="266" t="s">
        <v>4769</v>
      </c>
      <c r="F352" s="267">
        <v>3</v>
      </c>
      <c r="G352" s="268">
        <v>3348</v>
      </c>
      <c r="H352" s="268">
        <v>12.98</v>
      </c>
      <c r="I352" s="274" t="s">
        <v>2657</v>
      </c>
      <c r="J352" s="113" t="s">
        <v>4770</v>
      </c>
      <c r="K352" s="266">
        <v>12.36</v>
      </c>
      <c r="L352" s="266" t="s">
        <v>4771</v>
      </c>
      <c r="M352" s="275" t="s">
        <v>4289</v>
      </c>
      <c r="N352" s="113" t="s">
        <v>66</v>
      </c>
      <c r="O352" s="113"/>
      <c r="P352" s="113"/>
      <c r="Q352" s="113">
        <v>32911.17</v>
      </c>
      <c r="R352" s="113">
        <v>427187</v>
      </c>
      <c r="S352" s="280">
        <v>217187</v>
      </c>
      <c r="T352" s="281">
        <f t="shared" si="115"/>
        <v>210000</v>
      </c>
      <c r="U352" s="280"/>
      <c r="V352" s="280">
        <v>843</v>
      </c>
      <c r="W352" s="280">
        <v>560</v>
      </c>
      <c r="X352" s="280"/>
      <c r="Y352" s="113" t="s">
        <v>2669</v>
      </c>
      <c r="Z352" s="113"/>
      <c r="AA352" s="275"/>
      <c r="AB352" s="113"/>
      <c r="AC352" s="113">
        <v>1241</v>
      </c>
      <c r="AD352" s="113"/>
      <c r="AE352" s="133"/>
      <c r="AG352" s="133"/>
      <c r="AH352" s="133"/>
      <c r="AI352" s="132">
        <f t="shared" si="112"/>
        <v>219831</v>
      </c>
      <c r="AJ352" s="132">
        <f t="shared" si="113"/>
        <v>218590</v>
      </c>
      <c r="AK352" s="133">
        <f t="shared" si="114"/>
        <v>1241</v>
      </c>
      <c r="AL352" s="132"/>
      <c r="AM352" s="133"/>
      <c r="AN352" s="246">
        <v>44841</v>
      </c>
      <c r="AO352" s="137"/>
      <c r="AP352" s="97"/>
      <c r="AQ352" s="97"/>
      <c r="AR352" s="97"/>
      <c r="AS352" s="97"/>
      <c r="AT352" s="97"/>
      <c r="AU352" s="97"/>
      <c r="AV352" s="97"/>
      <c r="AW352" s="97"/>
      <c r="AX352" s="97"/>
      <c r="AY352" s="97"/>
      <c r="AZ352" s="97"/>
      <c r="BA352" s="97"/>
      <c r="BB352" s="97"/>
      <c r="BC352" s="97"/>
      <c r="BD352" s="97"/>
      <c r="BE352" s="97"/>
    </row>
    <row r="353" s="115" customFormat="1" customHeight="1" spans="1:57">
      <c r="A353" s="115" t="s">
        <v>4772</v>
      </c>
      <c r="B353" s="111" t="s">
        <v>4773</v>
      </c>
      <c r="C353" s="111" t="s">
        <v>4774</v>
      </c>
      <c r="D353" s="121" t="s">
        <v>4775</v>
      </c>
      <c r="E353" s="266">
        <v>15038977530</v>
      </c>
      <c r="F353" s="267">
        <v>3</v>
      </c>
      <c r="G353" s="268">
        <v>3839</v>
      </c>
      <c r="H353" s="268">
        <v>8.86</v>
      </c>
      <c r="I353" s="274" t="s">
        <v>2657</v>
      </c>
      <c r="J353" s="113" t="s">
        <v>4776</v>
      </c>
      <c r="K353" s="266">
        <v>7.81</v>
      </c>
      <c r="L353" s="266" t="s">
        <v>4771</v>
      </c>
      <c r="M353" s="275" t="s">
        <v>4289</v>
      </c>
      <c r="N353" s="113" t="s">
        <v>66</v>
      </c>
      <c r="O353" s="113"/>
      <c r="P353" s="113"/>
      <c r="Q353" s="113">
        <v>33879.39</v>
      </c>
      <c r="R353" s="113">
        <v>300171</v>
      </c>
      <c r="S353" s="280">
        <v>170171</v>
      </c>
      <c r="T353" s="281">
        <f t="shared" si="115"/>
        <v>130000</v>
      </c>
      <c r="U353" s="280"/>
      <c r="V353" s="280">
        <v>575</v>
      </c>
      <c r="W353" s="280">
        <v>550</v>
      </c>
      <c r="X353" s="280"/>
      <c r="Y353" s="113" t="s">
        <v>2669</v>
      </c>
      <c r="Z353" s="113"/>
      <c r="AA353" s="275"/>
      <c r="AB353" s="113"/>
      <c r="AC353" s="113">
        <v>1233</v>
      </c>
      <c r="AD353" s="113"/>
      <c r="AE353" s="133"/>
      <c r="AG353" s="133"/>
      <c r="AH353" s="133"/>
      <c r="AI353" s="132">
        <f t="shared" si="112"/>
        <v>172529</v>
      </c>
      <c r="AJ353" s="132">
        <f t="shared" si="113"/>
        <v>171296</v>
      </c>
      <c r="AK353" s="133">
        <f t="shared" si="114"/>
        <v>1233</v>
      </c>
      <c r="AL353" s="132"/>
      <c r="AM353" s="133"/>
      <c r="AN353" s="246">
        <v>44841</v>
      </c>
      <c r="AO353" s="137"/>
      <c r="AP353" s="97"/>
      <c r="AQ353" s="97"/>
      <c r="AR353" s="97"/>
      <c r="AS353" s="97"/>
      <c r="AT353" s="97"/>
      <c r="AU353" s="97"/>
      <c r="AV353" s="97"/>
      <c r="AW353" s="97"/>
      <c r="AX353" s="97"/>
      <c r="AY353" s="97"/>
      <c r="AZ353" s="97"/>
      <c r="BA353" s="97"/>
      <c r="BB353" s="97"/>
      <c r="BC353" s="97"/>
      <c r="BD353" s="97"/>
      <c r="BE353" s="97"/>
    </row>
    <row r="354" s="115" customFormat="1" customHeight="1" spans="1:57">
      <c r="A354" s="115" t="s">
        <v>4777</v>
      </c>
      <c r="B354" s="111" t="s">
        <v>4778</v>
      </c>
      <c r="C354" s="554" t="s">
        <v>4779</v>
      </c>
      <c r="D354" s="121" t="s">
        <v>4780</v>
      </c>
      <c r="E354" s="266">
        <v>15938795944</v>
      </c>
      <c r="F354" s="267">
        <v>1</v>
      </c>
      <c r="G354" s="268">
        <v>1600</v>
      </c>
      <c r="H354" s="268">
        <v>20.92</v>
      </c>
      <c r="I354" s="274" t="s">
        <v>2657</v>
      </c>
      <c r="J354" s="113" t="s">
        <v>4781</v>
      </c>
      <c r="K354" s="266">
        <v>22.66</v>
      </c>
      <c r="L354" s="266" t="s">
        <v>2954</v>
      </c>
      <c r="M354" s="275" t="s">
        <v>4691</v>
      </c>
      <c r="N354" s="113" t="s">
        <v>56</v>
      </c>
      <c r="O354" s="113"/>
      <c r="P354" s="113"/>
      <c r="Q354" s="113">
        <v>47882.7</v>
      </c>
      <c r="R354" s="113">
        <v>1001706</v>
      </c>
      <c r="S354" s="280">
        <v>1001706</v>
      </c>
      <c r="T354" s="281">
        <f t="shared" si="115"/>
        <v>0</v>
      </c>
      <c r="U354" s="280"/>
      <c r="V354" s="280">
        <v>1359</v>
      </c>
      <c r="W354" s="280">
        <v>550</v>
      </c>
      <c r="X354" s="280"/>
      <c r="Y354" s="113" t="s">
        <v>2669</v>
      </c>
      <c r="Z354" s="113" t="s">
        <v>48</v>
      </c>
      <c r="AA354" s="275">
        <v>44050</v>
      </c>
      <c r="AB354" s="113"/>
      <c r="AC354" s="113"/>
      <c r="AD354" s="113"/>
      <c r="AE354" s="133"/>
      <c r="AG354" s="133"/>
      <c r="AH354" s="133"/>
      <c r="AI354" s="132">
        <f t="shared" si="112"/>
        <v>1003615</v>
      </c>
      <c r="AJ354" s="132">
        <f t="shared" si="113"/>
        <v>1003615</v>
      </c>
      <c r="AK354" s="133">
        <f t="shared" si="114"/>
        <v>0</v>
      </c>
      <c r="AL354" s="132"/>
      <c r="AM354" s="133"/>
      <c r="AN354" s="246">
        <v>44841</v>
      </c>
      <c r="AO354" s="137"/>
      <c r="AP354" s="97"/>
      <c r="AQ354" s="97"/>
      <c r="AR354" s="97"/>
      <c r="AS354" s="97"/>
      <c r="AT354" s="97"/>
      <c r="AU354" s="97"/>
      <c r="AV354" s="97"/>
      <c r="AW354" s="97"/>
      <c r="AX354" s="97"/>
      <c r="AY354" s="97"/>
      <c r="AZ354" s="97"/>
      <c r="BA354" s="97"/>
      <c r="BB354" s="97"/>
      <c r="BC354" s="97"/>
      <c r="BD354" s="97"/>
      <c r="BE354" s="97"/>
    </row>
    <row r="355" s="115" customFormat="1" customHeight="1" spans="1:57">
      <c r="A355" s="115" t="s">
        <v>4782</v>
      </c>
      <c r="B355" s="111" t="s">
        <v>4783</v>
      </c>
      <c r="C355" s="111" t="s">
        <v>4784</v>
      </c>
      <c r="D355" s="121" t="s">
        <v>4785</v>
      </c>
      <c r="E355" s="266">
        <v>15515699131</v>
      </c>
      <c r="F355" s="267">
        <v>3</v>
      </c>
      <c r="G355" s="268">
        <v>3623</v>
      </c>
      <c r="H355" s="268">
        <v>20.12</v>
      </c>
      <c r="I355" s="274" t="s">
        <v>2657</v>
      </c>
      <c r="J355" s="113" t="s">
        <v>4786</v>
      </c>
      <c r="K355" s="266">
        <v>19.82</v>
      </c>
      <c r="L355" s="266" t="s">
        <v>3911</v>
      </c>
      <c r="M355" s="275" t="s">
        <v>3976</v>
      </c>
      <c r="N355" s="113" t="s">
        <v>66</v>
      </c>
      <c r="O355" s="113"/>
      <c r="P355" s="113"/>
      <c r="Q355" s="113">
        <v>31153.38</v>
      </c>
      <c r="R355" s="113">
        <v>617460</v>
      </c>
      <c r="S355" s="280">
        <v>317460</v>
      </c>
      <c r="T355" s="281">
        <f t="shared" si="115"/>
        <v>300000</v>
      </c>
      <c r="U355" s="280"/>
      <c r="V355" s="280"/>
      <c r="W355" s="280"/>
      <c r="X355" s="280"/>
      <c r="Y355" s="113"/>
      <c r="Z355" s="113"/>
      <c r="AA355" s="275"/>
      <c r="AB355" s="113"/>
      <c r="AC355" s="113"/>
      <c r="AD355" s="113"/>
      <c r="AE355" s="133"/>
      <c r="AG355" s="133"/>
      <c r="AH355" s="133"/>
      <c r="AI355" s="132">
        <f t="shared" ref="AI355:AI366" si="116">S355+U355+V355+W355+X355+AC355+AD355+AE355</f>
        <v>317460</v>
      </c>
      <c r="AJ355" s="132">
        <f t="shared" ref="AJ355:AJ366" si="117">S355+U355+V355+W355+X355</f>
        <v>317460</v>
      </c>
      <c r="AK355" s="133">
        <f t="shared" ref="AK355:AK366" si="118">AI355-AJ355</f>
        <v>0</v>
      </c>
      <c r="AL355" s="132"/>
      <c r="AM355" s="133"/>
      <c r="AN355" s="246">
        <v>44841</v>
      </c>
      <c r="AO355" s="137"/>
      <c r="AP355" s="97"/>
      <c r="AQ355" s="97"/>
      <c r="AR355" s="97"/>
      <c r="AS355" s="97"/>
      <c r="AT355" s="97"/>
      <c r="AU355" s="97"/>
      <c r="AV355" s="97"/>
      <c r="AW355" s="97"/>
      <c r="AX355" s="97"/>
      <c r="AY355" s="97"/>
      <c r="AZ355" s="97"/>
      <c r="BA355" s="97"/>
      <c r="BB355" s="97"/>
      <c r="BC355" s="97"/>
      <c r="BD355" s="97"/>
      <c r="BE355" s="97"/>
    </row>
    <row r="356" s="115" customFormat="1" customHeight="1" spans="1:57">
      <c r="A356" s="115" t="s">
        <v>4787</v>
      </c>
      <c r="B356" s="111" t="s">
        <v>4788</v>
      </c>
      <c r="C356" s="554" t="s">
        <v>4789</v>
      </c>
      <c r="D356" s="121" t="s">
        <v>4790</v>
      </c>
      <c r="E356" s="266" t="s">
        <v>4791</v>
      </c>
      <c r="F356" s="267">
        <v>1</v>
      </c>
      <c r="G356" s="268">
        <v>1283</v>
      </c>
      <c r="H356" s="268">
        <v>14.97</v>
      </c>
      <c r="I356" s="274" t="s">
        <v>2657</v>
      </c>
      <c r="J356" s="113" t="s">
        <v>4792</v>
      </c>
      <c r="K356" s="266">
        <v>15.02</v>
      </c>
      <c r="L356" s="266" t="s">
        <v>3060</v>
      </c>
      <c r="M356" s="275" t="s">
        <v>2762</v>
      </c>
      <c r="N356" s="113" t="s">
        <v>66</v>
      </c>
      <c r="O356" s="113"/>
      <c r="P356" s="113"/>
      <c r="Q356" s="113">
        <v>47978.76</v>
      </c>
      <c r="R356" s="113">
        <v>720641</v>
      </c>
      <c r="S356" s="280">
        <v>360641</v>
      </c>
      <c r="T356" s="281">
        <f t="shared" si="115"/>
        <v>360000</v>
      </c>
      <c r="U356" s="280"/>
      <c r="V356" s="280"/>
      <c r="W356" s="280"/>
      <c r="X356" s="280"/>
      <c r="Y356" s="113"/>
      <c r="Z356" s="113"/>
      <c r="AA356" s="275"/>
      <c r="AB356" s="113"/>
      <c r="AC356" s="113"/>
      <c r="AD356" s="113"/>
      <c r="AE356" s="133"/>
      <c r="AG356" s="133"/>
      <c r="AH356" s="133"/>
      <c r="AI356" s="132">
        <f t="shared" si="116"/>
        <v>360641</v>
      </c>
      <c r="AJ356" s="132">
        <f t="shared" si="117"/>
        <v>360641</v>
      </c>
      <c r="AK356" s="133">
        <f t="shared" si="118"/>
        <v>0</v>
      </c>
      <c r="AL356" s="132"/>
      <c r="AM356" s="133"/>
      <c r="AN356" s="246">
        <v>44841</v>
      </c>
      <c r="AO356" s="137"/>
      <c r="AP356" s="97"/>
      <c r="AQ356" s="97"/>
      <c r="AR356" s="97"/>
      <c r="AS356" s="97"/>
      <c r="AT356" s="97"/>
      <c r="AU356" s="97"/>
      <c r="AV356" s="97"/>
      <c r="AW356" s="97"/>
      <c r="AX356" s="97"/>
      <c r="AY356" s="97"/>
      <c r="AZ356" s="97"/>
      <c r="BA356" s="97"/>
      <c r="BB356" s="97"/>
      <c r="BC356" s="97"/>
      <c r="BD356" s="97"/>
      <c r="BE356" s="97"/>
    </row>
    <row r="357" s="115" customFormat="1" customHeight="1" spans="1:57">
      <c r="A357" s="115" t="s">
        <v>4793</v>
      </c>
      <c r="B357" s="111" t="s">
        <v>4794</v>
      </c>
      <c r="C357" s="554" t="s">
        <v>4795</v>
      </c>
      <c r="D357" s="121" t="s">
        <v>4796</v>
      </c>
      <c r="E357" s="266" t="s">
        <v>4797</v>
      </c>
      <c r="F357" s="267">
        <v>4</v>
      </c>
      <c r="G357" s="268">
        <v>4282</v>
      </c>
      <c r="H357" s="268">
        <v>35.98</v>
      </c>
      <c r="I357" s="274" t="s">
        <v>2665</v>
      </c>
      <c r="J357" s="113" t="s">
        <v>4798</v>
      </c>
      <c r="K357" s="266">
        <v>36.45</v>
      </c>
      <c r="L357" s="266" t="s">
        <v>2711</v>
      </c>
      <c r="M357" s="275" t="s">
        <v>4799</v>
      </c>
      <c r="N357" s="113" t="s">
        <v>56</v>
      </c>
      <c r="O357" s="113"/>
      <c r="P357" s="113"/>
      <c r="Q357" s="113">
        <v>19274.76</v>
      </c>
      <c r="R357" s="113">
        <v>693506</v>
      </c>
      <c r="S357" s="280">
        <v>693506</v>
      </c>
      <c r="T357" s="281">
        <f t="shared" si="115"/>
        <v>0</v>
      </c>
      <c r="U357" s="280"/>
      <c r="V357" s="280">
        <v>2338</v>
      </c>
      <c r="W357" s="280">
        <v>550</v>
      </c>
      <c r="X357" s="280">
        <v>6171</v>
      </c>
      <c r="Y357" s="113"/>
      <c r="Z357" s="113"/>
      <c r="AA357" s="275"/>
      <c r="AB357" s="113" t="s">
        <v>4800</v>
      </c>
      <c r="AC357" s="113"/>
      <c r="AD357" s="113"/>
      <c r="AE357" s="133"/>
      <c r="AG357" s="133"/>
      <c r="AH357" s="133"/>
      <c r="AI357" s="132">
        <f t="shared" si="116"/>
        <v>702565</v>
      </c>
      <c r="AJ357" s="132">
        <f t="shared" si="117"/>
        <v>702565</v>
      </c>
      <c r="AK357" s="133">
        <f t="shared" si="118"/>
        <v>0</v>
      </c>
      <c r="AL357" s="132"/>
      <c r="AM357" s="133"/>
      <c r="AN357" s="246">
        <v>44841</v>
      </c>
      <c r="AO357" s="137"/>
      <c r="AP357" s="97"/>
      <c r="AQ357" s="97"/>
      <c r="AR357" s="97"/>
      <c r="AS357" s="97"/>
      <c r="AT357" s="97"/>
      <c r="AU357" s="97"/>
      <c r="AV357" s="97"/>
      <c r="AW357" s="97"/>
      <c r="AX357" s="97"/>
      <c r="AY357" s="97"/>
      <c r="AZ357" s="97"/>
      <c r="BA357" s="97"/>
      <c r="BB357" s="97"/>
      <c r="BC357" s="97"/>
      <c r="BD357" s="97"/>
      <c r="BE357" s="97"/>
    </row>
    <row r="358" s="115" customFormat="1" customHeight="1" spans="1:57">
      <c r="A358" s="115" t="s">
        <v>4801</v>
      </c>
      <c r="B358" s="111" t="s">
        <v>4802</v>
      </c>
      <c r="C358" s="111" t="s">
        <v>4803</v>
      </c>
      <c r="D358" s="121" t="s">
        <v>4804</v>
      </c>
      <c r="E358" s="266">
        <v>13526810139</v>
      </c>
      <c r="F358" s="267">
        <v>3</v>
      </c>
      <c r="G358" s="268">
        <v>3415</v>
      </c>
      <c r="H358" s="268">
        <v>20.24</v>
      </c>
      <c r="I358" s="274" t="s">
        <v>2657</v>
      </c>
      <c r="J358" s="113" t="s">
        <v>4805</v>
      </c>
      <c r="K358" s="266">
        <v>17.34</v>
      </c>
      <c r="L358" s="266" t="s">
        <v>3205</v>
      </c>
      <c r="M358" s="275" t="s">
        <v>4806</v>
      </c>
      <c r="N358" s="113" t="s">
        <v>66</v>
      </c>
      <c r="O358" s="113"/>
      <c r="P358" s="113"/>
      <c r="Q358" s="113">
        <v>31784.2</v>
      </c>
      <c r="R358" s="113">
        <v>551138</v>
      </c>
      <c r="S358" s="280">
        <v>281138</v>
      </c>
      <c r="T358" s="281">
        <f t="shared" si="115"/>
        <v>270000</v>
      </c>
      <c r="U358" s="280"/>
      <c r="V358" s="280"/>
      <c r="W358" s="280"/>
      <c r="X358" s="280"/>
      <c r="Y358" s="113"/>
      <c r="Z358" s="113"/>
      <c r="AA358" s="275"/>
      <c r="AB358" s="113"/>
      <c r="AC358" s="113"/>
      <c r="AD358" s="113"/>
      <c r="AE358" s="133"/>
      <c r="AG358" s="133"/>
      <c r="AH358" s="133"/>
      <c r="AI358" s="132">
        <f t="shared" si="116"/>
        <v>281138</v>
      </c>
      <c r="AJ358" s="132">
        <f t="shared" si="117"/>
        <v>281138</v>
      </c>
      <c r="AK358" s="133">
        <f t="shared" si="118"/>
        <v>0</v>
      </c>
      <c r="AL358" s="132"/>
      <c r="AM358" s="133"/>
      <c r="AN358" s="246">
        <v>44841</v>
      </c>
      <c r="AO358" s="137"/>
      <c r="AP358" s="97"/>
      <c r="AQ358" s="97"/>
      <c r="AR358" s="97"/>
      <c r="AS358" s="97"/>
      <c r="AT358" s="97"/>
      <c r="AU358" s="97"/>
      <c r="AV358" s="97"/>
      <c r="AW358" s="97"/>
      <c r="AX358" s="97"/>
      <c r="AY358" s="97"/>
      <c r="AZ358" s="97"/>
      <c r="BA358" s="97"/>
      <c r="BB358" s="97"/>
      <c r="BC358" s="97"/>
      <c r="BD358" s="97"/>
      <c r="BE358" s="97"/>
    </row>
    <row r="359" s="115" customFormat="1" customHeight="1" spans="1:57">
      <c r="A359" s="115" t="s">
        <v>4807</v>
      </c>
      <c r="B359" s="111" t="s">
        <v>4808</v>
      </c>
      <c r="C359" s="111" t="s">
        <v>4809</v>
      </c>
      <c r="D359" s="121" t="s">
        <v>4810</v>
      </c>
      <c r="E359" s="266">
        <v>18937650278</v>
      </c>
      <c r="F359" s="267">
        <v>3</v>
      </c>
      <c r="G359" s="268">
        <v>3842</v>
      </c>
      <c r="H359" s="268">
        <v>13.11</v>
      </c>
      <c r="I359" s="274" t="s">
        <v>2657</v>
      </c>
      <c r="J359" s="113" t="s">
        <v>4811</v>
      </c>
      <c r="K359" s="266">
        <v>11.82</v>
      </c>
      <c r="L359" s="266" t="s">
        <v>3634</v>
      </c>
      <c r="M359" s="275" t="s">
        <v>4238</v>
      </c>
      <c r="N359" s="113" t="s">
        <v>66</v>
      </c>
      <c r="O359" s="113"/>
      <c r="P359" s="113"/>
      <c r="Q359" s="113">
        <v>33247.21</v>
      </c>
      <c r="R359" s="113">
        <v>392982</v>
      </c>
      <c r="S359" s="280">
        <v>202982</v>
      </c>
      <c r="T359" s="281">
        <f t="shared" si="115"/>
        <v>190000</v>
      </c>
      <c r="U359" s="280"/>
      <c r="V359" s="280"/>
      <c r="W359" s="280"/>
      <c r="X359" s="280"/>
      <c r="Y359" s="113"/>
      <c r="Z359" s="113"/>
      <c r="AA359" s="275"/>
      <c r="AB359" s="113"/>
      <c r="AC359" s="113"/>
      <c r="AD359" s="113"/>
      <c r="AE359" s="133"/>
      <c r="AG359" s="133"/>
      <c r="AH359" s="133"/>
      <c r="AI359" s="132">
        <f t="shared" si="116"/>
        <v>202982</v>
      </c>
      <c r="AJ359" s="132">
        <f t="shared" si="117"/>
        <v>202982</v>
      </c>
      <c r="AK359" s="133">
        <f t="shared" si="118"/>
        <v>0</v>
      </c>
      <c r="AL359" s="132"/>
      <c r="AM359" s="133"/>
      <c r="AN359" s="246">
        <v>44841</v>
      </c>
      <c r="AO359" s="137"/>
      <c r="AP359" s="97"/>
      <c r="AQ359" s="97"/>
      <c r="AR359" s="97"/>
      <c r="AS359" s="97"/>
      <c r="AT359" s="97"/>
      <c r="AU359" s="97"/>
      <c r="AV359" s="97"/>
      <c r="AW359" s="97"/>
      <c r="AX359" s="97"/>
      <c r="AY359" s="97"/>
      <c r="AZ359" s="97"/>
      <c r="BA359" s="97"/>
      <c r="BB359" s="97"/>
      <c r="BC359" s="97"/>
      <c r="BD359" s="97"/>
      <c r="BE359" s="97"/>
    </row>
    <row r="360" s="115" customFormat="1" customHeight="1" spans="1:57">
      <c r="A360" s="115" t="s">
        <v>4812</v>
      </c>
      <c r="B360" s="111" t="s">
        <v>4813</v>
      </c>
      <c r="C360" s="111" t="s">
        <v>4814</v>
      </c>
      <c r="D360" s="121" t="s">
        <v>4815</v>
      </c>
      <c r="E360" s="266" t="s">
        <v>4816</v>
      </c>
      <c r="F360" s="267">
        <v>3</v>
      </c>
      <c r="G360" s="268">
        <v>3364</v>
      </c>
      <c r="H360" s="268">
        <v>18.75</v>
      </c>
      <c r="I360" s="274" t="s">
        <v>2657</v>
      </c>
      <c r="J360" s="113" t="s">
        <v>4817</v>
      </c>
      <c r="K360" s="266">
        <v>19.01</v>
      </c>
      <c r="L360" s="266" t="s">
        <v>3282</v>
      </c>
      <c r="M360" s="275" t="s">
        <v>2785</v>
      </c>
      <c r="N360" s="113" t="s">
        <v>56</v>
      </c>
      <c r="O360" s="113"/>
      <c r="P360" s="113"/>
      <c r="Q360" s="113">
        <v>31727.56</v>
      </c>
      <c r="R360" s="113">
        <v>603141</v>
      </c>
      <c r="S360" s="280">
        <v>603141</v>
      </c>
      <c r="T360" s="281">
        <f t="shared" si="115"/>
        <v>0</v>
      </c>
      <c r="U360" s="280"/>
      <c r="V360" s="280"/>
      <c r="W360" s="280"/>
      <c r="X360" s="280"/>
      <c r="Y360" s="113"/>
      <c r="Z360" s="113"/>
      <c r="AA360" s="275"/>
      <c r="AB360" s="113"/>
      <c r="AC360" s="113"/>
      <c r="AD360" s="113"/>
      <c r="AE360" s="133"/>
      <c r="AG360" s="133"/>
      <c r="AH360" s="133"/>
      <c r="AI360" s="132">
        <f t="shared" si="116"/>
        <v>603141</v>
      </c>
      <c r="AJ360" s="132">
        <f t="shared" si="117"/>
        <v>603141</v>
      </c>
      <c r="AK360" s="133">
        <f t="shared" si="118"/>
        <v>0</v>
      </c>
      <c r="AL360" s="132"/>
      <c r="AM360" s="133"/>
      <c r="AN360" s="246">
        <v>44841</v>
      </c>
      <c r="AO360" s="137"/>
      <c r="AP360" s="97"/>
      <c r="AQ360" s="97"/>
      <c r="AR360" s="97"/>
      <c r="AS360" s="97"/>
      <c r="AT360" s="97"/>
      <c r="AU360" s="97"/>
      <c r="AV360" s="97"/>
      <c r="AW360" s="97"/>
      <c r="AX360" s="97"/>
      <c r="AY360" s="97"/>
      <c r="AZ360" s="97"/>
      <c r="BA360" s="97"/>
      <c r="BB360" s="97"/>
      <c r="BC360" s="97"/>
      <c r="BD360" s="97"/>
      <c r="BE360" s="97"/>
    </row>
    <row r="361" s="115" customFormat="1" customHeight="1" spans="1:57">
      <c r="A361" s="115" t="s">
        <v>4818</v>
      </c>
      <c r="B361" s="111" t="s">
        <v>4819</v>
      </c>
      <c r="C361" s="554" t="s">
        <v>4820</v>
      </c>
      <c r="D361" s="121" t="s">
        <v>4821</v>
      </c>
      <c r="E361" s="266">
        <v>13733175390</v>
      </c>
      <c r="F361" s="267">
        <v>4</v>
      </c>
      <c r="G361" s="268">
        <v>4100</v>
      </c>
      <c r="H361" s="268">
        <v>13.91</v>
      </c>
      <c r="I361" s="274" t="s">
        <v>2665</v>
      </c>
      <c r="J361" s="113" t="s">
        <v>4822</v>
      </c>
      <c r="K361" s="266">
        <v>18.4</v>
      </c>
      <c r="L361" s="266" t="s">
        <v>2711</v>
      </c>
      <c r="M361" s="275" t="s">
        <v>2799</v>
      </c>
      <c r="N361" s="113" t="s">
        <v>66</v>
      </c>
      <c r="O361" s="113"/>
      <c r="P361" s="113"/>
      <c r="Q361" s="113">
        <v>20592.1195652174</v>
      </c>
      <c r="R361" s="113">
        <v>378895</v>
      </c>
      <c r="S361" s="280">
        <v>198895</v>
      </c>
      <c r="T361" s="281">
        <f t="shared" si="115"/>
        <v>180000</v>
      </c>
      <c r="U361" s="280"/>
      <c r="V361" s="280"/>
      <c r="W361" s="280"/>
      <c r="X361" s="280"/>
      <c r="Y361" s="113"/>
      <c r="Z361" s="113"/>
      <c r="AA361" s="275"/>
      <c r="AB361" s="113"/>
      <c r="AC361" s="113"/>
      <c r="AD361" s="113"/>
      <c r="AE361" s="133"/>
      <c r="AG361" s="133"/>
      <c r="AH361" s="133"/>
      <c r="AI361" s="132">
        <f t="shared" si="116"/>
        <v>198895</v>
      </c>
      <c r="AJ361" s="132">
        <f t="shared" si="117"/>
        <v>198895</v>
      </c>
      <c r="AK361" s="133">
        <f t="shared" si="118"/>
        <v>0</v>
      </c>
      <c r="AL361" s="132"/>
      <c r="AM361" s="133"/>
      <c r="AN361" s="246">
        <v>44841</v>
      </c>
      <c r="AO361" s="137"/>
      <c r="AP361" s="97"/>
      <c r="AQ361" s="97"/>
      <c r="AR361" s="97"/>
      <c r="AS361" s="97"/>
      <c r="AT361" s="97"/>
      <c r="AU361" s="97"/>
      <c r="AV361" s="97"/>
      <c r="AW361" s="97"/>
      <c r="AX361" s="97"/>
      <c r="AY361" s="97"/>
      <c r="AZ361" s="97"/>
      <c r="BA361" s="97"/>
      <c r="BB361" s="97"/>
      <c r="BC361" s="97"/>
      <c r="BD361" s="97"/>
      <c r="BE361" s="97"/>
    </row>
    <row r="362" s="115" customFormat="1" customHeight="1" spans="1:57">
      <c r="A362" s="115" t="s">
        <v>4823</v>
      </c>
      <c r="B362" s="111" t="s">
        <v>4824</v>
      </c>
      <c r="C362" s="554" t="s">
        <v>4825</v>
      </c>
      <c r="D362" s="121" t="s">
        <v>4826</v>
      </c>
      <c r="E362" s="266">
        <v>15837108387</v>
      </c>
      <c r="F362" s="267">
        <v>1</v>
      </c>
      <c r="G362" s="268">
        <v>150</v>
      </c>
      <c r="H362" s="268">
        <v>22.1</v>
      </c>
      <c r="I362" s="274" t="s">
        <v>2657</v>
      </c>
      <c r="J362" s="113" t="s">
        <v>4827</v>
      </c>
      <c r="K362" s="266">
        <v>29.86</v>
      </c>
      <c r="L362" s="266" t="s">
        <v>2691</v>
      </c>
      <c r="M362" s="275" t="s">
        <v>3793</v>
      </c>
      <c r="N362" s="113" t="s">
        <v>66</v>
      </c>
      <c r="O362" s="113"/>
      <c r="P362" s="113"/>
      <c r="Q362" s="113">
        <v>48287.07</v>
      </c>
      <c r="R362" s="113">
        <v>1441852</v>
      </c>
      <c r="S362" s="280">
        <v>721852</v>
      </c>
      <c r="T362" s="281">
        <f t="shared" si="115"/>
        <v>720000</v>
      </c>
      <c r="U362" s="280"/>
      <c r="V362" s="280"/>
      <c r="W362" s="280"/>
      <c r="X362" s="280"/>
      <c r="Y362" s="113"/>
      <c r="Z362" s="113"/>
      <c r="AA362" s="275"/>
      <c r="AB362" s="113"/>
      <c r="AC362" s="113"/>
      <c r="AD362" s="113"/>
      <c r="AE362" s="133"/>
      <c r="AG362" s="133"/>
      <c r="AH362" s="133"/>
      <c r="AI362" s="132">
        <f t="shared" si="116"/>
        <v>721852</v>
      </c>
      <c r="AJ362" s="132">
        <f t="shared" si="117"/>
        <v>721852</v>
      </c>
      <c r="AK362" s="133">
        <f t="shared" si="118"/>
        <v>0</v>
      </c>
      <c r="AL362" s="132"/>
      <c r="AM362" s="133"/>
      <c r="AN362" s="246">
        <v>44841</v>
      </c>
      <c r="AO362" s="137"/>
      <c r="AP362" s="97"/>
      <c r="AQ362" s="97"/>
      <c r="AR362" s="97"/>
      <c r="AS362" s="97"/>
      <c r="AT362" s="97"/>
      <c r="AU362" s="97"/>
      <c r="AV362" s="97"/>
      <c r="AW362" s="97"/>
      <c r="AX362" s="97"/>
      <c r="AY362" s="97"/>
      <c r="AZ362" s="97"/>
      <c r="BA362" s="97"/>
      <c r="BB362" s="97"/>
      <c r="BC362" s="97"/>
      <c r="BD362" s="97"/>
      <c r="BE362" s="97"/>
    </row>
    <row r="363" s="115" customFormat="1" customHeight="1" spans="1:57">
      <c r="A363" s="115" t="s">
        <v>4828</v>
      </c>
      <c r="B363" s="111" t="s">
        <v>4829</v>
      </c>
      <c r="C363" s="554" t="s">
        <v>4830</v>
      </c>
      <c r="D363" s="121" t="s">
        <v>4831</v>
      </c>
      <c r="E363" s="266">
        <v>13607694088</v>
      </c>
      <c r="F363" s="267">
        <v>4</v>
      </c>
      <c r="G363" s="268">
        <v>4373</v>
      </c>
      <c r="H363" s="268">
        <v>22.41</v>
      </c>
      <c r="I363" s="274" t="s">
        <v>2657</v>
      </c>
      <c r="J363" s="113" t="s">
        <v>4832</v>
      </c>
      <c r="K363" s="266">
        <v>15.73</v>
      </c>
      <c r="L363" s="266" t="s">
        <v>4112</v>
      </c>
      <c r="M363" s="275" t="s">
        <v>4702</v>
      </c>
      <c r="N363" s="113" t="s">
        <v>66</v>
      </c>
      <c r="O363" s="113"/>
      <c r="P363" s="113"/>
      <c r="Q363" s="113">
        <v>25692.77</v>
      </c>
      <c r="R363" s="113">
        <v>575775</v>
      </c>
      <c r="S363" s="280">
        <v>505775</v>
      </c>
      <c r="T363" s="281">
        <f t="shared" si="115"/>
        <v>70000</v>
      </c>
      <c r="U363" s="280"/>
      <c r="V363" s="280"/>
      <c r="W363" s="280"/>
      <c r="X363" s="280"/>
      <c r="Y363" s="113"/>
      <c r="Z363" s="113"/>
      <c r="AA363" s="275"/>
      <c r="AB363" s="113" t="s">
        <v>4833</v>
      </c>
      <c r="AC363" s="113"/>
      <c r="AD363" s="113"/>
      <c r="AE363" s="133">
        <v>1456</v>
      </c>
      <c r="AG363" s="133"/>
      <c r="AH363" s="133"/>
      <c r="AI363" s="132">
        <f t="shared" si="116"/>
        <v>507231</v>
      </c>
      <c r="AJ363" s="132">
        <f t="shared" si="117"/>
        <v>505775</v>
      </c>
      <c r="AK363" s="133">
        <f t="shared" si="118"/>
        <v>1456</v>
      </c>
      <c r="AL363" s="132" t="s">
        <v>4834</v>
      </c>
      <c r="AM363" s="133"/>
      <c r="AN363" s="246">
        <v>44841</v>
      </c>
      <c r="AO363" s="137"/>
      <c r="AP363" s="97"/>
      <c r="AQ363" s="97"/>
      <c r="AR363" s="97"/>
      <c r="AS363" s="97"/>
      <c r="AT363" s="97"/>
      <c r="AU363" s="97"/>
      <c r="AV363" s="97"/>
      <c r="AW363" s="97"/>
      <c r="AX363" s="97"/>
      <c r="AY363" s="97"/>
      <c r="AZ363" s="97"/>
      <c r="BA363" s="97"/>
      <c r="BB363" s="97"/>
      <c r="BC363" s="97"/>
      <c r="BD363" s="97"/>
      <c r="BE363" s="97"/>
    </row>
    <row r="364" s="115" customFormat="1" customHeight="1" spans="1:57">
      <c r="A364" s="115" t="s">
        <v>4835</v>
      </c>
      <c r="B364" s="111" t="s">
        <v>4836</v>
      </c>
      <c r="C364" s="554" t="s">
        <v>4837</v>
      </c>
      <c r="D364" s="121"/>
      <c r="E364" s="266">
        <v>18939247890</v>
      </c>
      <c r="F364" s="267">
        <v>4</v>
      </c>
      <c r="G364" s="268">
        <v>4349</v>
      </c>
      <c r="H364" s="268">
        <v>12.98</v>
      </c>
      <c r="I364" s="274" t="s">
        <v>2657</v>
      </c>
      <c r="J364" s="113" t="s">
        <v>4838</v>
      </c>
      <c r="K364" s="266">
        <v>12.09</v>
      </c>
      <c r="L364" s="266" t="s">
        <v>3408</v>
      </c>
      <c r="M364" s="275" t="s">
        <v>4839</v>
      </c>
      <c r="N364" s="113" t="s">
        <v>66</v>
      </c>
      <c r="O364" s="113"/>
      <c r="P364" s="113"/>
      <c r="Q364" s="113">
        <v>26287.68</v>
      </c>
      <c r="R364" s="113">
        <v>341214</v>
      </c>
      <c r="S364" s="280">
        <v>171214</v>
      </c>
      <c r="T364" s="281" t="s">
        <v>47</v>
      </c>
      <c r="U364" s="280">
        <v>170000</v>
      </c>
      <c r="V364" s="280">
        <v>843</v>
      </c>
      <c r="W364" s="280">
        <v>550</v>
      </c>
      <c r="X364" s="280"/>
      <c r="Y364" s="113" t="s">
        <v>2669</v>
      </c>
      <c r="Z364" s="113" t="s">
        <v>48</v>
      </c>
      <c r="AA364" s="275">
        <v>44078</v>
      </c>
      <c r="AB364" s="113"/>
      <c r="AC364" s="113"/>
      <c r="AD364" s="113"/>
      <c r="AE364" s="133"/>
      <c r="AG364" s="133" t="s">
        <v>4840</v>
      </c>
      <c r="AH364" s="133"/>
      <c r="AI364" s="132">
        <f t="shared" ref="AI364:AI374" si="119">S364+U364+V364+W364+X364+AC364+AD364+AE364</f>
        <v>342607</v>
      </c>
      <c r="AJ364" s="132">
        <f t="shared" ref="AJ364:AJ374" si="120">S364+U364+V364+W364+X364</f>
        <v>342607</v>
      </c>
      <c r="AK364" s="133">
        <f t="shared" ref="AK364:AK374" si="121">AI364-AJ364</f>
        <v>0</v>
      </c>
      <c r="AL364" s="132"/>
      <c r="AM364" s="133"/>
      <c r="AN364" s="246">
        <v>44841</v>
      </c>
      <c r="AO364" s="137"/>
      <c r="AP364" s="97"/>
      <c r="AQ364" s="97"/>
      <c r="AR364" s="97"/>
      <c r="AS364" s="97"/>
      <c r="AT364" s="97"/>
      <c r="AU364" s="97"/>
      <c r="AV364" s="97"/>
      <c r="AW364" s="97"/>
      <c r="AX364" s="97"/>
      <c r="AY364" s="97"/>
      <c r="AZ364" s="97"/>
      <c r="BA364" s="97"/>
      <c r="BB364" s="97"/>
      <c r="BC364" s="97"/>
      <c r="BD364" s="97"/>
      <c r="BE364" s="97"/>
    </row>
    <row r="365" s="115" customFormat="1" customHeight="1" spans="1:57">
      <c r="A365" s="115" t="s">
        <v>4841</v>
      </c>
      <c r="B365" s="111" t="s">
        <v>4842</v>
      </c>
      <c r="C365" s="554" t="s">
        <v>4843</v>
      </c>
      <c r="D365" s="121" t="s">
        <v>4844</v>
      </c>
      <c r="E365" s="266">
        <v>15838601738</v>
      </c>
      <c r="F365" s="267">
        <v>3</v>
      </c>
      <c r="G365" s="268">
        <v>387</v>
      </c>
      <c r="H365" s="268">
        <v>27.28</v>
      </c>
      <c r="I365" s="274" t="s">
        <v>2665</v>
      </c>
      <c r="J365" s="113" t="s">
        <v>4845</v>
      </c>
      <c r="K365" s="266">
        <v>35.25</v>
      </c>
      <c r="L365" s="266" t="s">
        <v>2711</v>
      </c>
      <c r="M365" s="275"/>
      <c r="N365" s="113" t="s">
        <v>66</v>
      </c>
      <c r="O365" s="113"/>
      <c r="P365" s="113"/>
      <c r="Q365" s="113">
        <v>22525.0496453901</v>
      </c>
      <c r="R365" s="113">
        <v>794008</v>
      </c>
      <c r="S365" s="280">
        <v>404008</v>
      </c>
      <c r="T365" s="281">
        <f>R365-S365</f>
        <v>390000</v>
      </c>
      <c r="U365" s="280"/>
      <c r="V365" s="280"/>
      <c r="W365" s="280"/>
      <c r="X365" s="280"/>
      <c r="Y365" s="113"/>
      <c r="Z365" s="113"/>
      <c r="AA365" s="275"/>
      <c r="AB365" s="113"/>
      <c r="AC365" s="113"/>
      <c r="AD365" s="113"/>
      <c r="AE365" s="133"/>
      <c r="AG365" s="133"/>
      <c r="AH365" s="133"/>
      <c r="AI365" s="132">
        <f t="shared" si="119"/>
        <v>404008</v>
      </c>
      <c r="AJ365" s="132">
        <f t="shared" si="120"/>
        <v>404008</v>
      </c>
      <c r="AK365" s="133">
        <f t="shared" si="121"/>
        <v>0</v>
      </c>
      <c r="AL365" s="132"/>
      <c r="AM365" s="133"/>
      <c r="AN365" s="246">
        <v>44841</v>
      </c>
      <c r="AO365" s="137"/>
      <c r="AP365" s="97"/>
      <c r="AQ365" s="97"/>
      <c r="AR365" s="97"/>
      <c r="AS365" s="97"/>
      <c r="AT365" s="97"/>
      <c r="AU365" s="97"/>
      <c r="AV365" s="97"/>
      <c r="AW365" s="97"/>
      <c r="AX365" s="97"/>
      <c r="AY365" s="97"/>
      <c r="AZ365" s="97"/>
      <c r="BA365" s="97"/>
      <c r="BB365" s="97"/>
      <c r="BC365" s="97"/>
      <c r="BD365" s="97"/>
      <c r="BE365" s="97"/>
    </row>
    <row r="366" s="115" customFormat="1" customHeight="1" spans="1:57">
      <c r="A366" s="115" t="s">
        <v>4846</v>
      </c>
      <c r="B366" s="111" t="s">
        <v>4847</v>
      </c>
      <c r="C366" s="554" t="s">
        <v>4848</v>
      </c>
      <c r="D366" s="121" t="s">
        <v>4849</v>
      </c>
      <c r="E366" s="266" t="s">
        <v>4850</v>
      </c>
      <c r="F366" s="267">
        <v>3</v>
      </c>
      <c r="G366" s="268">
        <v>385</v>
      </c>
      <c r="H366" s="268">
        <v>32.99</v>
      </c>
      <c r="I366" s="274" t="s">
        <v>2665</v>
      </c>
      <c r="J366" s="113" t="s">
        <v>4851</v>
      </c>
      <c r="K366" s="266">
        <v>30.15</v>
      </c>
      <c r="L366" s="266" t="s">
        <v>2711</v>
      </c>
      <c r="M366" s="275"/>
      <c r="N366" s="113" t="s">
        <v>66</v>
      </c>
      <c r="O366" s="113"/>
      <c r="P366" s="113"/>
      <c r="Q366" s="113">
        <v>22525.0414593698</v>
      </c>
      <c r="R366" s="113">
        <v>679130</v>
      </c>
      <c r="S366" s="280">
        <v>349130</v>
      </c>
      <c r="T366" s="281">
        <f>R366-S366</f>
        <v>330000</v>
      </c>
      <c r="U366" s="280"/>
      <c r="V366" s="280"/>
      <c r="W366" s="280"/>
      <c r="X366" s="280"/>
      <c r="Y366" s="113"/>
      <c r="Z366" s="113"/>
      <c r="AA366" s="275"/>
      <c r="AB366" s="113"/>
      <c r="AC366" s="113"/>
      <c r="AD366" s="113"/>
      <c r="AE366" s="133"/>
      <c r="AG366" s="133"/>
      <c r="AH366" s="133"/>
      <c r="AI366" s="132">
        <f t="shared" si="119"/>
        <v>349130</v>
      </c>
      <c r="AJ366" s="132">
        <f t="shared" si="120"/>
        <v>349130</v>
      </c>
      <c r="AK366" s="133">
        <f t="shared" si="121"/>
        <v>0</v>
      </c>
      <c r="AL366" s="132"/>
      <c r="AM366" s="133"/>
      <c r="AN366" s="246">
        <v>44841</v>
      </c>
      <c r="AO366" s="137"/>
      <c r="AP366" s="97"/>
      <c r="AQ366" s="97"/>
      <c r="AR366" s="97"/>
      <c r="AS366" s="97"/>
      <c r="AT366" s="97"/>
      <c r="AU366" s="97"/>
      <c r="AV366" s="97"/>
      <c r="AW366" s="97"/>
      <c r="AX366" s="97"/>
      <c r="AY366" s="97"/>
      <c r="AZ366" s="97"/>
      <c r="BA366" s="97"/>
      <c r="BB366" s="97"/>
      <c r="BC366" s="97"/>
      <c r="BD366" s="97"/>
      <c r="BE366" s="97"/>
    </row>
    <row r="367" s="115" customFormat="1" customHeight="1" spans="1:57">
      <c r="A367" s="115" t="s">
        <v>4852</v>
      </c>
      <c r="B367" s="111" t="s">
        <v>780</v>
      </c>
      <c r="C367" s="554" t="s">
        <v>4853</v>
      </c>
      <c r="D367" s="121"/>
      <c r="E367" s="266">
        <v>13838556227</v>
      </c>
      <c r="F367" s="267">
        <v>4</v>
      </c>
      <c r="G367" s="268"/>
      <c r="H367" s="268">
        <v>6.1</v>
      </c>
      <c r="I367" s="274"/>
      <c r="J367" s="113" t="s">
        <v>4854</v>
      </c>
      <c r="K367" s="266"/>
      <c r="L367" s="266"/>
      <c r="M367" s="275"/>
      <c r="N367" s="113"/>
      <c r="O367" s="113"/>
      <c r="P367" s="113"/>
      <c r="Q367" s="113">
        <v>22278</v>
      </c>
      <c r="R367" s="113">
        <v>135897</v>
      </c>
      <c r="S367" s="280">
        <v>135897</v>
      </c>
      <c r="T367" s="281"/>
      <c r="U367" s="280"/>
      <c r="V367" s="280"/>
      <c r="W367" s="280"/>
      <c r="X367" s="280"/>
      <c r="Y367" s="113"/>
      <c r="Z367" s="113"/>
      <c r="AA367" s="275"/>
      <c r="AB367" s="113"/>
      <c r="AC367" s="113"/>
      <c r="AD367" s="113"/>
      <c r="AE367" s="133"/>
      <c r="AG367" s="133"/>
      <c r="AH367" s="133"/>
      <c r="AI367" s="132">
        <f t="shared" si="119"/>
        <v>135897</v>
      </c>
      <c r="AJ367" s="132">
        <f t="shared" si="120"/>
        <v>135897</v>
      </c>
      <c r="AK367" s="133">
        <f t="shared" si="121"/>
        <v>0</v>
      </c>
      <c r="AL367" s="132"/>
      <c r="AM367" s="133"/>
      <c r="AN367" s="246">
        <v>44841</v>
      </c>
      <c r="AO367" s="137"/>
      <c r="AP367" s="97"/>
      <c r="AQ367" s="97"/>
      <c r="AR367" s="97"/>
      <c r="AS367" s="97"/>
      <c r="AT367" s="97"/>
      <c r="AU367" s="97"/>
      <c r="AV367" s="97"/>
      <c r="AW367" s="97"/>
      <c r="AX367" s="97"/>
      <c r="AY367" s="97"/>
      <c r="AZ367" s="97"/>
      <c r="BA367" s="97"/>
      <c r="BB367" s="97"/>
      <c r="BC367" s="97"/>
      <c r="BD367" s="97"/>
      <c r="BE367" s="97"/>
    </row>
    <row r="368" s="115" customFormat="1" customHeight="1" spans="1:57">
      <c r="A368" s="115" t="s">
        <v>4855</v>
      </c>
      <c r="B368" s="111" t="s">
        <v>4856</v>
      </c>
      <c r="C368" s="111" t="s">
        <v>4857</v>
      </c>
      <c r="D368" s="121" t="s">
        <v>4858</v>
      </c>
      <c r="E368" s="266" t="s">
        <v>4859</v>
      </c>
      <c r="F368" s="267">
        <v>3</v>
      </c>
      <c r="G368" s="268">
        <v>3295</v>
      </c>
      <c r="H368" s="268">
        <v>23.44</v>
      </c>
      <c r="I368" s="274" t="s">
        <v>2665</v>
      </c>
      <c r="J368" s="113" t="s">
        <v>4860</v>
      </c>
      <c r="K368" s="266">
        <v>19.58</v>
      </c>
      <c r="L368" s="266" t="s">
        <v>4861</v>
      </c>
      <c r="M368" s="275" t="s">
        <v>4862</v>
      </c>
      <c r="N368" s="113" t="s">
        <v>66</v>
      </c>
      <c r="O368" s="113"/>
      <c r="P368" s="113"/>
      <c r="Q368" s="113">
        <v>31944.43</v>
      </c>
      <c r="R368" s="113">
        <v>625472</v>
      </c>
      <c r="S368" s="280">
        <v>325472</v>
      </c>
      <c r="T368" s="281">
        <f t="shared" ref="T368:T390" si="122">R368-S368</f>
        <v>300000</v>
      </c>
      <c r="U368" s="280"/>
      <c r="V368" s="280"/>
      <c r="W368" s="280"/>
      <c r="X368" s="280"/>
      <c r="Y368" s="113"/>
      <c r="Z368" s="113"/>
      <c r="AA368" s="275"/>
      <c r="AB368" s="113" t="s">
        <v>4863</v>
      </c>
      <c r="AC368" s="113"/>
      <c r="AD368" s="113"/>
      <c r="AE368" s="133"/>
      <c r="AG368" s="133"/>
      <c r="AH368" s="133"/>
      <c r="AI368" s="132">
        <f t="shared" si="119"/>
        <v>325472</v>
      </c>
      <c r="AJ368" s="132">
        <f t="shared" si="120"/>
        <v>325472</v>
      </c>
      <c r="AK368" s="133">
        <f t="shared" si="121"/>
        <v>0</v>
      </c>
      <c r="AL368" s="132"/>
      <c r="AM368" s="133"/>
      <c r="AN368" s="246">
        <v>44841</v>
      </c>
      <c r="AO368" s="137"/>
      <c r="AP368" s="97"/>
      <c r="AQ368" s="97"/>
      <c r="AR368" s="97"/>
      <c r="AS368" s="97"/>
      <c r="AT368" s="97"/>
      <c r="AU368" s="97"/>
      <c r="AV368" s="97"/>
      <c r="AW368" s="97"/>
      <c r="AX368" s="97"/>
      <c r="AY368" s="97"/>
      <c r="AZ368" s="97"/>
      <c r="BA368" s="97"/>
      <c r="BB368" s="97"/>
      <c r="BC368" s="97"/>
      <c r="BD368" s="97"/>
      <c r="BE368" s="97"/>
    </row>
    <row r="369" s="115" customFormat="1" customHeight="1" spans="1:57">
      <c r="A369" s="115" t="s">
        <v>4864</v>
      </c>
      <c r="B369" s="111" t="s">
        <v>4865</v>
      </c>
      <c r="C369" s="111" t="s">
        <v>4866</v>
      </c>
      <c r="D369" s="121" t="s">
        <v>4867</v>
      </c>
      <c r="E369" s="266">
        <v>13523632223</v>
      </c>
      <c r="F369" s="267">
        <v>1</v>
      </c>
      <c r="G369" s="268">
        <v>1778</v>
      </c>
      <c r="H369" s="268">
        <v>12.96</v>
      </c>
      <c r="I369" s="274" t="s">
        <v>2657</v>
      </c>
      <c r="J369" s="113" t="s">
        <v>4868</v>
      </c>
      <c r="K369" s="266">
        <v>14.59</v>
      </c>
      <c r="L369" s="266" t="s">
        <v>3497</v>
      </c>
      <c r="M369" s="275" t="s">
        <v>4312</v>
      </c>
      <c r="N369" s="113" t="s">
        <v>66</v>
      </c>
      <c r="O369" s="113"/>
      <c r="P369" s="113"/>
      <c r="Q369" s="113">
        <v>47292.67</v>
      </c>
      <c r="R369" s="113">
        <v>612913</v>
      </c>
      <c r="S369" s="280">
        <v>352913</v>
      </c>
      <c r="T369" s="281">
        <f t="shared" si="122"/>
        <v>260000</v>
      </c>
      <c r="U369" s="280"/>
      <c r="V369" s="280">
        <v>842</v>
      </c>
      <c r="W369" s="280">
        <v>550</v>
      </c>
      <c r="X369" s="280"/>
      <c r="Y369" s="113" t="s">
        <v>2669</v>
      </c>
      <c r="Z369" s="113"/>
      <c r="AA369" s="275"/>
      <c r="AB369" s="113"/>
      <c r="AC369" s="113">
        <v>1246</v>
      </c>
      <c r="AD369" s="113"/>
      <c r="AE369" s="133"/>
      <c r="AG369" s="133"/>
      <c r="AH369" s="133"/>
      <c r="AI369" s="132">
        <f t="shared" si="119"/>
        <v>355551</v>
      </c>
      <c r="AJ369" s="132">
        <f t="shared" si="120"/>
        <v>354305</v>
      </c>
      <c r="AK369" s="133">
        <f t="shared" si="121"/>
        <v>1246</v>
      </c>
      <c r="AL369" s="132"/>
      <c r="AM369" s="133"/>
      <c r="AN369" s="246">
        <v>44841</v>
      </c>
      <c r="AO369" s="137"/>
      <c r="AP369" s="97"/>
      <c r="AQ369" s="97"/>
      <c r="AR369" s="97"/>
      <c r="AS369" s="97"/>
      <c r="AT369" s="97"/>
      <c r="AU369" s="97"/>
      <c r="AV369" s="97"/>
      <c r="AW369" s="97"/>
      <c r="AX369" s="97"/>
      <c r="AY369" s="97"/>
      <c r="AZ369" s="97"/>
      <c r="BA369" s="97"/>
      <c r="BB369" s="97"/>
      <c r="BC369" s="97"/>
      <c r="BD369" s="97"/>
      <c r="BE369" s="97"/>
    </row>
    <row r="370" s="115" customFormat="1" customHeight="1" spans="1:57">
      <c r="A370" s="115" t="s">
        <v>4869</v>
      </c>
      <c r="B370" s="111" t="s">
        <v>4870</v>
      </c>
      <c r="C370" s="111" t="s">
        <v>4871</v>
      </c>
      <c r="D370" s="121"/>
      <c r="E370" s="266">
        <v>13629805101</v>
      </c>
      <c r="F370" s="267">
        <v>3</v>
      </c>
      <c r="G370" s="268">
        <v>3971</v>
      </c>
      <c r="H370" s="268">
        <v>13.55</v>
      </c>
      <c r="I370" s="274" t="s">
        <v>2657</v>
      </c>
      <c r="J370" s="113" t="s">
        <v>4872</v>
      </c>
      <c r="K370" s="266">
        <v>13.12</v>
      </c>
      <c r="L370" s="266" t="s">
        <v>4873</v>
      </c>
      <c r="M370" s="275" t="s">
        <v>4873</v>
      </c>
      <c r="N370" s="113" t="s">
        <v>66</v>
      </c>
      <c r="O370" s="113"/>
      <c r="P370" s="113"/>
      <c r="Q370" s="113">
        <v>44612.58</v>
      </c>
      <c r="R370" s="113">
        <v>422996</v>
      </c>
      <c r="S370" s="280">
        <v>212996</v>
      </c>
      <c r="T370" s="281">
        <f t="shared" si="122"/>
        <v>210000</v>
      </c>
      <c r="U370" s="280"/>
      <c r="V370" s="280"/>
      <c r="W370" s="280"/>
      <c r="X370" s="280"/>
      <c r="Y370" s="113"/>
      <c r="Z370" s="113"/>
      <c r="AA370" s="275"/>
      <c r="AB370" s="113"/>
      <c r="AC370" s="113"/>
      <c r="AD370" s="113"/>
      <c r="AE370" s="133"/>
      <c r="AG370" s="133"/>
      <c r="AH370" s="133"/>
      <c r="AI370" s="132">
        <f t="shared" si="119"/>
        <v>212996</v>
      </c>
      <c r="AJ370" s="132">
        <f t="shared" si="120"/>
        <v>212996</v>
      </c>
      <c r="AK370" s="133">
        <f t="shared" si="121"/>
        <v>0</v>
      </c>
      <c r="AL370" s="132"/>
      <c r="AM370" s="133"/>
      <c r="AN370" s="246">
        <v>44841</v>
      </c>
      <c r="AO370" s="137"/>
      <c r="AP370" s="97"/>
      <c r="AQ370" s="97"/>
      <c r="AR370" s="97"/>
      <c r="AS370" s="97"/>
      <c r="AT370" s="97"/>
      <c r="AU370" s="97"/>
      <c r="AV370" s="97"/>
      <c r="AW370" s="97"/>
      <c r="AX370" s="97"/>
      <c r="AY370" s="97"/>
      <c r="AZ370" s="97"/>
      <c r="BA370" s="97"/>
      <c r="BB370" s="97"/>
      <c r="BC370" s="97"/>
      <c r="BD370" s="97"/>
      <c r="BE370" s="97"/>
    </row>
    <row r="371" s="115" customFormat="1" customHeight="1" spans="1:57">
      <c r="A371" s="115" t="s">
        <v>4874</v>
      </c>
      <c r="B371" s="111" t="s">
        <v>4875</v>
      </c>
      <c r="C371" s="554" t="s">
        <v>4876</v>
      </c>
      <c r="D371" s="121" t="s">
        <v>4877</v>
      </c>
      <c r="E371" s="266">
        <v>13603912607</v>
      </c>
      <c r="F371" s="267">
        <v>3</v>
      </c>
      <c r="G371" s="268">
        <v>3643</v>
      </c>
      <c r="H371" s="268">
        <v>12.98</v>
      </c>
      <c r="I371" s="274" t="s">
        <v>2657</v>
      </c>
      <c r="J371" s="113" t="s">
        <v>4878</v>
      </c>
      <c r="K371" s="266">
        <v>23.08</v>
      </c>
      <c r="L371" s="266" t="s">
        <v>4879</v>
      </c>
      <c r="M371" s="275" t="s">
        <v>3402</v>
      </c>
      <c r="N371" s="113" t="s">
        <v>66</v>
      </c>
      <c r="O371" s="113"/>
      <c r="P371" s="113"/>
      <c r="Q371" s="113">
        <v>32062.39</v>
      </c>
      <c r="R371" s="113">
        <v>416170</v>
      </c>
      <c r="S371" s="280">
        <v>371170</v>
      </c>
      <c r="T371" s="281">
        <f t="shared" si="122"/>
        <v>45000</v>
      </c>
      <c r="U371" s="280"/>
      <c r="V371" s="280">
        <v>843</v>
      </c>
      <c r="W371" s="280">
        <v>550</v>
      </c>
      <c r="X371" s="280"/>
      <c r="Y371" s="113" t="s">
        <v>2669</v>
      </c>
      <c r="Z371" s="113"/>
      <c r="AA371" s="275"/>
      <c r="AB371" s="113"/>
      <c r="AC371" s="113"/>
      <c r="AD371" s="113"/>
      <c r="AE371" s="133"/>
      <c r="AG371" s="133"/>
      <c r="AH371" s="133"/>
      <c r="AI371" s="132">
        <f t="shared" si="119"/>
        <v>372563</v>
      </c>
      <c r="AJ371" s="132">
        <f t="shared" si="120"/>
        <v>372563</v>
      </c>
      <c r="AK371" s="133">
        <f t="shared" si="121"/>
        <v>0</v>
      </c>
      <c r="AL371" s="132"/>
      <c r="AM371" s="133"/>
      <c r="AN371" s="246">
        <v>44841</v>
      </c>
      <c r="AO371" s="137"/>
      <c r="AP371" s="97"/>
      <c r="AQ371" s="97"/>
      <c r="AR371" s="97"/>
      <c r="AS371" s="97"/>
      <c r="AT371" s="97"/>
      <c r="AU371" s="97"/>
      <c r="AV371" s="97"/>
      <c r="AW371" s="97"/>
      <c r="AX371" s="97"/>
      <c r="AY371" s="97"/>
      <c r="AZ371" s="97"/>
      <c r="BA371" s="97"/>
      <c r="BB371" s="97"/>
      <c r="BC371" s="97"/>
      <c r="BD371" s="97"/>
      <c r="BE371" s="97"/>
    </row>
    <row r="372" s="115" customFormat="1" customHeight="1" spans="1:57">
      <c r="A372" s="115" t="s">
        <v>4880</v>
      </c>
      <c r="B372" s="111" t="s">
        <v>4881</v>
      </c>
      <c r="C372" s="554" t="s">
        <v>4882</v>
      </c>
      <c r="D372" s="121" t="s">
        <v>4883</v>
      </c>
      <c r="E372" s="266">
        <v>13007609916</v>
      </c>
      <c r="F372" s="267">
        <v>1</v>
      </c>
      <c r="G372" s="268">
        <v>1634</v>
      </c>
      <c r="H372" s="268">
        <v>13.02</v>
      </c>
      <c r="I372" s="274" t="s">
        <v>2657</v>
      </c>
      <c r="J372" s="113" t="s">
        <v>4884</v>
      </c>
      <c r="K372" s="266">
        <v>13.05</v>
      </c>
      <c r="L372" s="266" t="s">
        <v>3035</v>
      </c>
      <c r="M372" s="275" t="s">
        <v>3282</v>
      </c>
      <c r="N372" s="113" t="s">
        <v>56</v>
      </c>
      <c r="O372" s="113"/>
      <c r="P372" s="113"/>
      <c r="Q372" s="113">
        <v>48319.23</v>
      </c>
      <c r="R372" s="113">
        <v>630566</v>
      </c>
      <c r="S372" s="280">
        <v>630566</v>
      </c>
      <c r="T372" s="281">
        <f t="shared" si="122"/>
        <v>0</v>
      </c>
      <c r="U372" s="280"/>
      <c r="V372" s="280"/>
      <c r="W372" s="280"/>
      <c r="X372" s="280"/>
      <c r="Y372" s="113"/>
      <c r="Z372" s="113"/>
      <c r="AA372" s="275"/>
      <c r="AB372" s="113"/>
      <c r="AC372" s="113"/>
      <c r="AD372" s="113"/>
      <c r="AE372" s="133"/>
      <c r="AG372" s="133"/>
      <c r="AH372" s="133"/>
      <c r="AI372" s="132">
        <f t="shared" si="119"/>
        <v>630566</v>
      </c>
      <c r="AJ372" s="132">
        <f t="shared" si="120"/>
        <v>630566</v>
      </c>
      <c r="AK372" s="133">
        <f t="shared" si="121"/>
        <v>0</v>
      </c>
      <c r="AL372" s="132"/>
      <c r="AM372" s="133"/>
      <c r="AN372" s="246">
        <v>44841</v>
      </c>
      <c r="AO372" s="137"/>
      <c r="AP372" s="97"/>
      <c r="AQ372" s="97"/>
      <c r="AR372" s="97"/>
      <c r="AS372" s="97"/>
      <c r="AT372" s="97"/>
      <c r="AU372" s="97"/>
      <c r="AV372" s="97"/>
      <c r="AW372" s="97"/>
      <c r="AX372" s="97"/>
      <c r="AY372" s="97"/>
      <c r="AZ372" s="97"/>
      <c r="BA372" s="97"/>
      <c r="BB372" s="97"/>
      <c r="BC372" s="97"/>
      <c r="BD372" s="97"/>
      <c r="BE372" s="97"/>
    </row>
    <row r="373" s="115" customFormat="1" customHeight="1" spans="1:57">
      <c r="A373" s="115" t="s">
        <v>4885</v>
      </c>
      <c r="B373" s="111" t="s">
        <v>4886</v>
      </c>
      <c r="C373" s="554" t="s">
        <v>4887</v>
      </c>
      <c r="D373" s="121" t="s">
        <v>4888</v>
      </c>
      <c r="E373" s="266">
        <v>15803803096</v>
      </c>
      <c r="F373" s="267">
        <v>1</v>
      </c>
      <c r="G373" s="268">
        <v>1300</v>
      </c>
      <c r="H373" s="268">
        <v>18.75</v>
      </c>
      <c r="I373" s="274" t="s">
        <v>2657</v>
      </c>
      <c r="J373" s="113" t="s">
        <v>4889</v>
      </c>
      <c r="K373" s="266">
        <v>20.47</v>
      </c>
      <c r="L373" s="266" t="s">
        <v>4708</v>
      </c>
      <c r="M373" s="275" t="s">
        <v>4890</v>
      </c>
      <c r="N373" s="113" t="s">
        <v>66</v>
      </c>
      <c r="O373" s="113"/>
      <c r="P373" s="113"/>
      <c r="Q373" s="113">
        <v>48363.46</v>
      </c>
      <c r="R373" s="113">
        <v>906815</v>
      </c>
      <c r="S373" s="280">
        <v>506815</v>
      </c>
      <c r="T373" s="281">
        <f t="shared" si="122"/>
        <v>400000</v>
      </c>
      <c r="U373" s="280"/>
      <c r="V373" s="280">
        <v>1218</v>
      </c>
      <c r="W373" s="280">
        <v>550</v>
      </c>
      <c r="X373" s="280"/>
      <c r="Y373" s="113"/>
      <c r="Z373" s="113"/>
      <c r="AA373" s="275"/>
      <c r="AB373" s="113"/>
      <c r="AC373" s="113">
        <f>1000+220+40</f>
        <v>1260</v>
      </c>
      <c r="AD373" s="113"/>
      <c r="AE373" s="133"/>
      <c r="AG373" s="133"/>
      <c r="AH373" s="133"/>
      <c r="AI373" s="132">
        <f t="shared" si="119"/>
        <v>509843</v>
      </c>
      <c r="AJ373" s="132">
        <f t="shared" si="120"/>
        <v>508583</v>
      </c>
      <c r="AK373" s="133">
        <f t="shared" si="121"/>
        <v>1260</v>
      </c>
      <c r="AL373" s="132"/>
      <c r="AM373" s="133"/>
      <c r="AN373" s="246">
        <v>44841</v>
      </c>
      <c r="AO373" s="137"/>
      <c r="AP373" s="97"/>
      <c r="AQ373" s="97"/>
      <c r="AR373" s="97"/>
      <c r="AS373" s="97"/>
      <c r="AT373" s="97"/>
      <c r="AU373" s="97"/>
      <c r="AV373" s="97"/>
      <c r="AW373" s="97"/>
      <c r="AX373" s="97"/>
      <c r="AY373" s="97"/>
      <c r="AZ373" s="97"/>
      <c r="BA373" s="97"/>
      <c r="BB373" s="97"/>
      <c r="BC373" s="97"/>
      <c r="BD373" s="97"/>
      <c r="BE373" s="97"/>
    </row>
    <row r="374" s="115" customFormat="1" customHeight="1" spans="1:57">
      <c r="A374" s="115" t="s">
        <v>4891</v>
      </c>
      <c r="B374" s="111" t="s">
        <v>4892</v>
      </c>
      <c r="C374" s="111" t="s">
        <v>4893</v>
      </c>
      <c r="D374" s="121" t="s">
        <v>4894</v>
      </c>
      <c r="E374" s="266">
        <v>15803821878</v>
      </c>
      <c r="F374" s="267">
        <v>3</v>
      </c>
      <c r="G374" s="268">
        <v>314</v>
      </c>
      <c r="H374" s="268">
        <v>24.78</v>
      </c>
      <c r="I374" s="274" t="s">
        <v>2657</v>
      </c>
      <c r="J374" s="113" t="s">
        <v>4895</v>
      </c>
      <c r="K374" s="266">
        <v>19.07</v>
      </c>
      <c r="L374" s="266" t="s">
        <v>4896</v>
      </c>
      <c r="M374" s="275" t="s">
        <v>4897</v>
      </c>
      <c r="N374" s="113" t="s">
        <v>66</v>
      </c>
      <c r="O374" s="113"/>
      <c r="P374" s="113"/>
      <c r="Q374" s="113">
        <v>32066.7</v>
      </c>
      <c r="R374" s="113">
        <v>611512</v>
      </c>
      <c r="S374" s="280">
        <v>311512</v>
      </c>
      <c r="T374" s="281">
        <f t="shared" si="122"/>
        <v>300000</v>
      </c>
      <c r="U374" s="280"/>
      <c r="V374" s="280"/>
      <c r="W374" s="280"/>
      <c r="X374" s="280"/>
      <c r="Y374" s="113"/>
      <c r="Z374" s="113"/>
      <c r="AA374" s="275"/>
      <c r="AB374" s="113"/>
      <c r="AC374" s="113"/>
      <c r="AD374" s="113"/>
      <c r="AE374" s="133"/>
      <c r="AG374" s="133"/>
      <c r="AH374" s="133"/>
      <c r="AI374" s="132">
        <f t="shared" si="119"/>
        <v>311512</v>
      </c>
      <c r="AJ374" s="132">
        <f t="shared" si="120"/>
        <v>311512</v>
      </c>
      <c r="AK374" s="133">
        <f t="shared" si="121"/>
        <v>0</v>
      </c>
      <c r="AL374" s="132"/>
      <c r="AM374" s="133"/>
      <c r="AN374" s="246">
        <v>44841</v>
      </c>
      <c r="AO374" s="137"/>
      <c r="AP374" s="97"/>
      <c r="AQ374" s="97"/>
      <c r="AR374" s="97"/>
      <c r="AS374" s="97"/>
      <c r="AT374" s="97"/>
      <c r="AU374" s="97"/>
      <c r="AV374" s="97"/>
      <c r="AW374" s="97"/>
      <c r="AX374" s="97"/>
      <c r="AY374" s="97"/>
      <c r="AZ374" s="97"/>
      <c r="BA374" s="97"/>
      <c r="BB374" s="97"/>
      <c r="BC374" s="97"/>
      <c r="BD374" s="97"/>
      <c r="BE374" s="97"/>
    </row>
    <row r="375" s="115" customFormat="1" customHeight="1" spans="1:57">
      <c r="A375" s="115" t="s">
        <v>4898</v>
      </c>
      <c r="B375" s="111" t="s">
        <v>4899</v>
      </c>
      <c r="C375" s="111" t="s">
        <v>4900</v>
      </c>
      <c r="D375" s="121" t="s">
        <v>4901</v>
      </c>
      <c r="E375" s="266" t="s">
        <v>4902</v>
      </c>
      <c r="F375" s="267">
        <v>4</v>
      </c>
      <c r="G375" s="268">
        <v>4169</v>
      </c>
      <c r="H375" s="268">
        <v>29.28</v>
      </c>
      <c r="I375" s="274" t="s">
        <v>2665</v>
      </c>
      <c r="J375" s="113" t="s">
        <v>4903</v>
      </c>
      <c r="K375" s="266">
        <v>30.53</v>
      </c>
      <c r="L375" s="266" t="s">
        <v>3245</v>
      </c>
      <c r="M375" s="275" t="s">
        <v>3245</v>
      </c>
      <c r="N375" s="113" t="s">
        <v>66</v>
      </c>
      <c r="O375" s="113"/>
      <c r="P375" s="113"/>
      <c r="Q375" s="113">
        <v>26531.28</v>
      </c>
      <c r="R375" s="113">
        <v>810000</v>
      </c>
      <c r="S375" s="280">
        <v>410000</v>
      </c>
      <c r="T375" s="281">
        <f t="shared" si="122"/>
        <v>400000</v>
      </c>
      <c r="U375" s="280"/>
      <c r="V375" s="280"/>
      <c r="W375" s="280"/>
      <c r="X375" s="280"/>
      <c r="Y375" s="113"/>
      <c r="Z375" s="113"/>
      <c r="AA375" s="275"/>
      <c r="AB375" s="113"/>
      <c r="AC375" s="113"/>
      <c r="AD375" s="113"/>
      <c r="AE375" s="133"/>
      <c r="AF375" s="115" t="s">
        <v>237</v>
      </c>
      <c r="AG375" s="133"/>
      <c r="AH375" s="133"/>
      <c r="AI375" s="132">
        <f t="shared" ref="AI375:AI381" si="123">S375+U375+V375+W375+X375+AC375+AD375+AE375</f>
        <v>410000</v>
      </c>
      <c r="AJ375" s="132">
        <f t="shared" ref="AJ375:AJ381" si="124">S375+U375+V375+W375+X375</f>
        <v>410000</v>
      </c>
      <c r="AK375" s="133">
        <f t="shared" ref="AK375:AK381" si="125">AI375-AJ375</f>
        <v>0</v>
      </c>
      <c r="AL375" s="132"/>
      <c r="AM375" s="133"/>
      <c r="AN375" s="246">
        <v>44841</v>
      </c>
      <c r="AO375" s="137"/>
      <c r="AP375" s="97"/>
      <c r="AQ375" s="97"/>
      <c r="AR375" s="97"/>
      <c r="AS375" s="97"/>
      <c r="AT375" s="97"/>
      <c r="AU375" s="97"/>
      <c r="AV375" s="97"/>
      <c r="AW375" s="97"/>
      <c r="AX375" s="97"/>
      <c r="AY375" s="97"/>
      <c r="AZ375" s="97"/>
      <c r="BA375" s="97"/>
      <c r="BB375" s="97"/>
      <c r="BC375" s="97"/>
      <c r="BD375" s="97"/>
      <c r="BE375" s="97"/>
    </row>
    <row r="376" s="115" customFormat="1" customHeight="1" spans="1:57">
      <c r="A376" s="115" t="s">
        <v>4904</v>
      </c>
      <c r="B376" s="111" t="s">
        <v>4905</v>
      </c>
      <c r="C376" s="554" t="s">
        <v>4906</v>
      </c>
      <c r="D376" s="121" t="s">
        <v>4907</v>
      </c>
      <c r="E376" s="266" t="s">
        <v>4908</v>
      </c>
      <c r="F376" s="267">
        <v>3</v>
      </c>
      <c r="G376" s="268">
        <v>3973</v>
      </c>
      <c r="H376" s="268">
        <v>19.16</v>
      </c>
      <c r="I376" s="274" t="s">
        <v>2657</v>
      </c>
      <c r="J376" s="113" t="s">
        <v>4909</v>
      </c>
      <c r="K376" s="266">
        <v>36.09</v>
      </c>
      <c r="L376" s="266"/>
      <c r="M376" s="275" t="s">
        <v>2814</v>
      </c>
      <c r="N376" s="113" t="s">
        <v>56</v>
      </c>
      <c r="O376" s="113"/>
      <c r="P376" s="113"/>
      <c r="Q376" s="113">
        <v>31964.77</v>
      </c>
      <c r="R376" s="113">
        <v>612445</v>
      </c>
      <c r="S376" s="280">
        <v>612445</v>
      </c>
      <c r="T376" s="281">
        <f t="shared" si="122"/>
        <v>0</v>
      </c>
      <c r="U376" s="280"/>
      <c r="V376" s="280">
        <v>1245</v>
      </c>
      <c r="W376" s="280">
        <v>570</v>
      </c>
      <c r="X376" s="280"/>
      <c r="Y376" s="113" t="s">
        <v>2669</v>
      </c>
      <c r="Z376" s="113"/>
      <c r="AA376" s="275"/>
      <c r="AB376" s="113" t="s">
        <v>4910</v>
      </c>
      <c r="AC376" s="113"/>
      <c r="AD376" s="113"/>
      <c r="AE376" s="133"/>
      <c r="AG376" s="133"/>
      <c r="AH376" s="133"/>
      <c r="AI376" s="132">
        <f t="shared" si="123"/>
        <v>614260</v>
      </c>
      <c r="AJ376" s="132">
        <f t="shared" si="124"/>
        <v>614260</v>
      </c>
      <c r="AK376" s="133">
        <f t="shared" si="125"/>
        <v>0</v>
      </c>
      <c r="AL376" s="132"/>
      <c r="AM376" s="133"/>
      <c r="AN376" s="246">
        <v>44841</v>
      </c>
      <c r="AO376" s="137"/>
      <c r="AP376" s="97"/>
      <c r="AQ376" s="97"/>
      <c r="AR376" s="97"/>
      <c r="AS376" s="97"/>
      <c r="AT376" s="97"/>
      <c r="AU376" s="97"/>
      <c r="AV376" s="97"/>
      <c r="AW376" s="97"/>
      <c r="AX376" s="97"/>
      <c r="AY376" s="97"/>
      <c r="AZ376" s="97"/>
      <c r="BA376" s="97"/>
      <c r="BB376" s="97"/>
      <c r="BC376" s="97"/>
      <c r="BD376" s="97"/>
      <c r="BE376" s="97"/>
    </row>
    <row r="377" s="115" customFormat="1" customHeight="1" spans="1:57">
      <c r="A377" s="115" t="s">
        <v>4911</v>
      </c>
      <c r="B377" s="111" t="s">
        <v>4912</v>
      </c>
      <c r="C377" s="111" t="s">
        <v>4913</v>
      </c>
      <c r="D377" s="121" t="s">
        <v>4914</v>
      </c>
      <c r="E377" s="266">
        <v>13938495915</v>
      </c>
      <c r="F377" s="267">
        <v>3</v>
      </c>
      <c r="G377" s="268">
        <v>3386</v>
      </c>
      <c r="H377" s="268">
        <v>18.54</v>
      </c>
      <c r="I377" s="274" t="s">
        <v>2657</v>
      </c>
      <c r="J377" s="113" t="s">
        <v>4915</v>
      </c>
      <c r="K377" s="266">
        <v>17.05</v>
      </c>
      <c r="L377" s="266" t="s">
        <v>3048</v>
      </c>
      <c r="M377" s="275" t="s">
        <v>3772</v>
      </c>
      <c r="N377" s="113" t="s">
        <v>56</v>
      </c>
      <c r="O377" s="113"/>
      <c r="P377" s="113"/>
      <c r="Q377" s="113">
        <v>31462.78</v>
      </c>
      <c r="R377" s="113">
        <v>583320</v>
      </c>
      <c r="S377" s="280">
        <v>583320</v>
      </c>
      <c r="T377" s="281">
        <f t="shared" si="122"/>
        <v>0</v>
      </c>
      <c r="U377" s="280"/>
      <c r="V377" s="280">
        <v>1205</v>
      </c>
      <c r="W377" s="280">
        <v>550</v>
      </c>
      <c r="X377" s="280"/>
      <c r="Y377" s="113" t="s">
        <v>2669</v>
      </c>
      <c r="Z377" s="113" t="s">
        <v>48</v>
      </c>
      <c r="AA377" s="275">
        <v>44052</v>
      </c>
      <c r="AB377" s="113"/>
      <c r="AC377" s="113"/>
      <c r="AD377" s="113"/>
      <c r="AE377" s="133"/>
      <c r="AG377" s="133"/>
      <c r="AH377" s="133"/>
      <c r="AI377" s="132">
        <f t="shared" si="123"/>
        <v>585075</v>
      </c>
      <c r="AJ377" s="132">
        <f t="shared" si="124"/>
        <v>585075</v>
      </c>
      <c r="AK377" s="133">
        <f t="shared" si="125"/>
        <v>0</v>
      </c>
      <c r="AL377" s="132"/>
      <c r="AM377" s="133"/>
      <c r="AN377" s="246">
        <v>44841</v>
      </c>
      <c r="AO377" s="137"/>
      <c r="AP377" s="97"/>
      <c r="AQ377" s="97"/>
      <c r="AR377" s="97"/>
      <c r="AS377" s="97"/>
      <c r="AT377" s="97"/>
      <c r="AU377" s="97"/>
      <c r="AV377" s="97"/>
      <c r="AW377" s="97"/>
      <c r="AX377" s="97"/>
      <c r="AY377" s="97"/>
      <c r="AZ377" s="97"/>
      <c r="BA377" s="97"/>
      <c r="BB377" s="97"/>
      <c r="BC377" s="97"/>
      <c r="BD377" s="97"/>
      <c r="BE377" s="97"/>
    </row>
    <row r="378" s="115" customFormat="1" customHeight="1" spans="1:57">
      <c r="A378" s="115" t="s">
        <v>4916</v>
      </c>
      <c r="B378" s="111" t="s">
        <v>4917</v>
      </c>
      <c r="C378" s="111" t="s">
        <v>4918</v>
      </c>
      <c r="D378" s="121" t="s">
        <v>4919</v>
      </c>
      <c r="E378" s="266">
        <v>15690857521</v>
      </c>
      <c r="F378" s="267">
        <v>3</v>
      </c>
      <c r="G378" s="268">
        <v>3980</v>
      </c>
      <c r="H378" s="268">
        <v>17.26</v>
      </c>
      <c r="I378" s="274" t="s">
        <v>2657</v>
      </c>
      <c r="J378" s="113" t="s">
        <v>4920</v>
      </c>
      <c r="K378" s="266">
        <v>16.64</v>
      </c>
      <c r="L378" s="266" t="s">
        <v>3799</v>
      </c>
      <c r="M378" s="275" t="s">
        <v>4061</v>
      </c>
      <c r="N378" s="113" t="s">
        <v>56</v>
      </c>
      <c r="O378" s="113"/>
      <c r="P378" s="113"/>
      <c r="Q378" s="113">
        <v>30825.24</v>
      </c>
      <c r="R378" s="113">
        <v>532044</v>
      </c>
      <c r="S378" s="280">
        <v>515932</v>
      </c>
      <c r="T378" s="281">
        <f t="shared" si="122"/>
        <v>16112</v>
      </c>
      <c r="U378" s="280"/>
      <c r="V378" s="280"/>
      <c r="W378" s="280"/>
      <c r="X378" s="280"/>
      <c r="Y378" s="113" t="s">
        <v>2669</v>
      </c>
      <c r="Z378" s="113"/>
      <c r="AA378" s="275"/>
      <c r="AB378" s="113"/>
      <c r="AC378" s="113"/>
      <c r="AD378" s="113"/>
      <c r="AE378" s="133"/>
      <c r="AG378" s="133"/>
      <c r="AH378" s="133"/>
      <c r="AI378" s="132">
        <f t="shared" si="123"/>
        <v>515932</v>
      </c>
      <c r="AJ378" s="132">
        <f t="shared" si="124"/>
        <v>515932</v>
      </c>
      <c r="AK378" s="133">
        <f t="shared" si="125"/>
        <v>0</v>
      </c>
      <c r="AL378" s="132"/>
      <c r="AM378" s="133"/>
      <c r="AN378" s="246">
        <v>44841</v>
      </c>
      <c r="AO378" s="137"/>
      <c r="AP378" s="97"/>
      <c r="AQ378" s="97"/>
      <c r="AR378" s="97"/>
      <c r="AS378" s="97"/>
      <c r="AT378" s="97"/>
      <c r="AU378" s="97"/>
      <c r="AV378" s="97"/>
      <c r="AW378" s="97"/>
      <c r="AX378" s="97"/>
      <c r="AY378" s="97"/>
      <c r="AZ378" s="97"/>
      <c r="BA378" s="97"/>
      <c r="BB378" s="97"/>
      <c r="BC378" s="97"/>
      <c r="BD378" s="97"/>
      <c r="BE378" s="97"/>
    </row>
    <row r="379" s="115" customFormat="1" customHeight="1" spans="1:57">
      <c r="A379" s="115" t="s">
        <v>4921</v>
      </c>
      <c r="B379" s="111" t="s">
        <v>4922</v>
      </c>
      <c r="C379" s="111" t="s">
        <v>4923</v>
      </c>
      <c r="D379" s="121" t="s">
        <v>4924</v>
      </c>
      <c r="E379" s="266">
        <v>18738118787</v>
      </c>
      <c r="F379" s="267">
        <v>4</v>
      </c>
      <c r="G379" s="268">
        <v>4219</v>
      </c>
      <c r="H379" s="268">
        <v>29.88</v>
      </c>
      <c r="I379" s="274" t="s">
        <v>2665</v>
      </c>
      <c r="J379" s="113" t="s">
        <v>4925</v>
      </c>
      <c r="K379" s="266">
        <v>30.08</v>
      </c>
      <c r="L379" s="266" t="s">
        <v>4926</v>
      </c>
      <c r="M379" s="275" t="s">
        <v>3402</v>
      </c>
      <c r="N379" s="113" t="s">
        <v>56</v>
      </c>
      <c r="O379" s="113"/>
      <c r="P379" s="113"/>
      <c r="Q379" s="113">
        <v>21515.16</v>
      </c>
      <c r="R379" s="113">
        <v>642873</v>
      </c>
      <c r="S379" s="280">
        <v>642873</v>
      </c>
      <c r="T379" s="281">
        <f t="shared" si="122"/>
        <v>0</v>
      </c>
      <c r="U379" s="280"/>
      <c r="V379" s="280">
        <v>1942</v>
      </c>
      <c r="W379" s="280">
        <v>560</v>
      </c>
      <c r="X379" s="280">
        <v>1801</v>
      </c>
      <c r="Y379" s="113" t="s">
        <v>2669</v>
      </c>
      <c r="Z379" s="113" t="s">
        <v>48</v>
      </c>
      <c r="AA379" s="275">
        <v>44031</v>
      </c>
      <c r="AB379" s="113"/>
      <c r="AC379" s="113"/>
      <c r="AD379" s="113"/>
      <c r="AE379" s="133"/>
      <c r="AG379" s="133"/>
      <c r="AH379" s="133"/>
      <c r="AI379" s="132">
        <f t="shared" si="123"/>
        <v>647176</v>
      </c>
      <c r="AJ379" s="132">
        <f t="shared" si="124"/>
        <v>647176</v>
      </c>
      <c r="AK379" s="133">
        <f t="shared" si="125"/>
        <v>0</v>
      </c>
      <c r="AL379" s="132"/>
      <c r="AM379" s="133"/>
      <c r="AN379" s="246">
        <v>44841</v>
      </c>
      <c r="AO379" s="137"/>
      <c r="AP379" s="97"/>
      <c r="AQ379" s="97"/>
      <c r="AR379" s="97"/>
      <c r="AS379" s="97"/>
      <c r="AT379" s="97"/>
      <c r="AU379" s="97"/>
      <c r="AV379" s="97"/>
      <c r="AW379" s="97"/>
      <c r="AX379" s="97"/>
      <c r="AY379" s="97"/>
      <c r="AZ379" s="97"/>
      <c r="BA379" s="97"/>
      <c r="BB379" s="97"/>
      <c r="BC379" s="97"/>
      <c r="BD379" s="97"/>
      <c r="BE379" s="97"/>
    </row>
    <row r="380" s="115" customFormat="1" customHeight="1" spans="1:57">
      <c r="A380" s="115" t="s">
        <v>4927</v>
      </c>
      <c r="B380" s="111" t="s">
        <v>4928</v>
      </c>
      <c r="C380" s="111" t="s">
        <v>4929</v>
      </c>
      <c r="D380" s="121" t="s">
        <v>4930</v>
      </c>
      <c r="E380" s="266">
        <v>13782302885</v>
      </c>
      <c r="F380" s="267">
        <v>1</v>
      </c>
      <c r="G380" s="268">
        <v>1647</v>
      </c>
      <c r="H380" s="268">
        <v>20.84</v>
      </c>
      <c r="I380" s="274" t="s">
        <v>2657</v>
      </c>
      <c r="J380" s="113" t="s">
        <v>4931</v>
      </c>
      <c r="K380" s="266">
        <v>19.89</v>
      </c>
      <c r="L380" s="266" t="s">
        <v>4932</v>
      </c>
      <c r="M380" s="275" t="s">
        <v>4933</v>
      </c>
      <c r="N380" s="113" t="s">
        <v>66</v>
      </c>
      <c r="O380" s="113"/>
      <c r="P380" s="113"/>
      <c r="Q380" s="113">
        <v>48265.46</v>
      </c>
      <c r="R380" s="113">
        <v>960000</v>
      </c>
      <c r="S380" s="280">
        <v>480000</v>
      </c>
      <c r="T380" s="281">
        <f t="shared" si="122"/>
        <v>480000</v>
      </c>
      <c r="U380" s="280"/>
      <c r="V380" s="280"/>
      <c r="W380" s="280"/>
      <c r="X380" s="280"/>
      <c r="Y380" s="113" t="s">
        <v>2669</v>
      </c>
      <c r="Z380" s="113"/>
      <c r="AA380" s="275"/>
      <c r="AB380" s="113"/>
      <c r="AC380" s="113"/>
      <c r="AD380" s="113"/>
      <c r="AE380" s="133"/>
      <c r="AG380" s="133"/>
      <c r="AH380" s="133"/>
      <c r="AI380" s="132">
        <f t="shared" si="123"/>
        <v>480000</v>
      </c>
      <c r="AJ380" s="132">
        <f t="shared" si="124"/>
        <v>480000</v>
      </c>
      <c r="AK380" s="133">
        <f t="shared" si="125"/>
        <v>0</v>
      </c>
      <c r="AL380" s="132"/>
      <c r="AM380" s="133"/>
      <c r="AN380" s="246">
        <v>44841</v>
      </c>
      <c r="AO380" s="137"/>
      <c r="AP380" s="97"/>
      <c r="AQ380" s="97"/>
      <c r="AR380" s="97"/>
      <c r="AS380" s="97"/>
      <c r="AT380" s="97"/>
      <c r="AU380" s="97"/>
      <c r="AV380" s="97"/>
      <c r="AW380" s="97"/>
      <c r="AX380" s="97"/>
      <c r="AY380" s="97"/>
      <c r="AZ380" s="97"/>
      <c r="BA380" s="97"/>
      <c r="BB380" s="97"/>
      <c r="BC380" s="97"/>
      <c r="BD380" s="97"/>
      <c r="BE380" s="97"/>
    </row>
    <row r="381" s="115" customFormat="1" customHeight="1" spans="1:57">
      <c r="A381" s="115" t="s">
        <v>4934</v>
      </c>
      <c r="B381" s="111" t="s">
        <v>4935</v>
      </c>
      <c r="C381" s="554" t="s">
        <v>4936</v>
      </c>
      <c r="D381" s="121" t="s">
        <v>4937</v>
      </c>
      <c r="E381" s="266">
        <v>13503718586</v>
      </c>
      <c r="F381" s="267">
        <v>4</v>
      </c>
      <c r="G381" s="268">
        <v>4391</v>
      </c>
      <c r="H381" s="268">
        <v>29.53</v>
      </c>
      <c r="I381" s="274" t="s">
        <v>2657</v>
      </c>
      <c r="J381" s="113" t="s">
        <v>4938</v>
      </c>
      <c r="K381" s="266">
        <v>25.94</v>
      </c>
      <c r="L381" s="266" t="s">
        <v>3793</v>
      </c>
      <c r="M381" s="275" t="s">
        <v>4312</v>
      </c>
      <c r="N381" s="113" t="s">
        <v>66</v>
      </c>
      <c r="O381" s="113"/>
      <c r="P381" s="113"/>
      <c r="Q381" s="113">
        <v>26858.87</v>
      </c>
      <c r="R381" s="113">
        <v>793142</v>
      </c>
      <c r="S381" s="280">
        <v>403142</v>
      </c>
      <c r="T381" s="281">
        <f t="shared" si="122"/>
        <v>390000</v>
      </c>
      <c r="U381" s="280"/>
      <c r="V381" s="280">
        <v>1919</v>
      </c>
      <c r="W381" s="280">
        <v>550</v>
      </c>
      <c r="X381" s="280"/>
      <c r="Y381" s="113" t="s">
        <v>2669</v>
      </c>
      <c r="Z381" s="113"/>
      <c r="AA381" s="275"/>
      <c r="AB381" s="113"/>
      <c r="AC381" s="113">
        <v>1259</v>
      </c>
      <c r="AD381" s="113"/>
      <c r="AE381" s="133"/>
      <c r="AG381" s="133"/>
      <c r="AH381" s="133"/>
      <c r="AI381" s="132">
        <f t="shared" si="123"/>
        <v>406870</v>
      </c>
      <c r="AJ381" s="132">
        <f t="shared" si="124"/>
        <v>405611</v>
      </c>
      <c r="AK381" s="133">
        <f t="shared" si="125"/>
        <v>1259</v>
      </c>
      <c r="AL381" s="132"/>
      <c r="AM381" s="133"/>
      <c r="AN381" s="246">
        <v>44841</v>
      </c>
      <c r="AO381" s="137"/>
      <c r="AP381" s="97"/>
      <c r="AQ381" s="97"/>
      <c r="AR381" s="97"/>
      <c r="AS381" s="97"/>
      <c r="AT381" s="97"/>
      <c r="AU381" s="97"/>
      <c r="AV381" s="97"/>
      <c r="AW381" s="97"/>
      <c r="AX381" s="97"/>
      <c r="AY381" s="97"/>
      <c r="AZ381" s="97"/>
      <c r="BA381" s="97"/>
      <c r="BB381" s="97"/>
      <c r="BC381" s="97"/>
      <c r="BD381" s="97"/>
      <c r="BE381" s="97"/>
    </row>
    <row r="382" s="115" customFormat="1" customHeight="1" spans="1:57">
      <c r="A382" s="115" t="s">
        <v>4939</v>
      </c>
      <c r="B382" s="111" t="s">
        <v>4940</v>
      </c>
      <c r="C382" s="554" t="s">
        <v>4941</v>
      </c>
      <c r="D382" s="121" t="s">
        <v>4942</v>
      </c>
      <c r="E382" s="266">
        <v>13698817858</v>
      </c>
      <c r="F382" s="267">
        <v>1</v>
      </c>
      <c r="G382" s="268">
        <v>145</v>
      </c>
      <c r="H382" s="268">
        <v>27.51</v>
      </c>
      <c r="I382" s="274" t="s">
        <v>2657</v>
      </c>
      <c r="J382" s="113" t="s">
        <v>4943</v>
      </c>
      <c r="K382" s="266">
        <v>26.69</v>
      </c>
      <c r="L382" s="266" t="s">
        <v>3061</v>
      </c>
      <c r="M382" s="275" t="s">
        <v>3793</v>
      </c>
      <c r="N382" s="113" t="s">
        <v>66</v>
      </c>
      <c r="O382" s="113"/>
      <c r="P382" s="113"/>
      <c r="Q382" s="113">
        <v>46834.02</v>
      </c>
      <c r="R382" s="113">
        <v>1250000</v>
      </c>
      <c r="S382" s="280">
        <v>630000</v>
      </c>
      <c r="T382" s="281">
        <f t="shared" si="122"/>
        <v>620000</v>
      </c>
      <c r="U382" s="280"/>
      <c r="V382" s="280"/>
      <c r="W382" s="280"/>
      <c r="X382" s="280"/>
      <c r="Y382" s="113"/>
      <c r="Z382" s="113"/>
      <c r="AA382" s="275"/>
      <c r="AB382" s="113"/>
      <c r="AC382" s="113"/>
      <c r="AD382" s="113"/>
      <c r="AE382" s="133"/>
      <c r="AG382" s="133"/>
      <c r="AH382" s="133"/>
      <c r="AI382" s="132">
        <f t="shared" ref="AI382:AI390" si="126">S382+U382+V382+W382+X382+AC382+AD382+AE382</f>
        <v>630000</v>
      </c>
      <c r="AJ382" s="132">
        <f t="shared" ref="AJ382:AJ390" si="127">S382+U382+V382+W382+X382</f>
        <v>630000</v>
      </c>
      <c r="AK382" s="133">
        <f t="shared" ref="AK382:AK390" si="128">AI382-AJ382</f>
        <v>0</v>
      </c>
      <c r="AL382" s="132"/>
      <c r="AM382" s="133"/>
      <c r="AN382" s="246">
        <v>44841</v>
      </c>
      <c r="AO382" s="137"/>
      <c r="AP382" s="97"/>
      <c r="AQ382" s="97"/>
      <c r="AR382" s="97"/>
      <c r="AS382" s="97"/>
      <c r="AT382" s="97"/>
      <c r="AU382" s="97"/>
      <c r="AV382" s="97"/>
      <c r="AW382" s="97"/>
      <c r="AX382" s="97"/>
      <c r="AY382" s="97"/>
      <c r="AZ382" s="97"/>
      <c r="BA382" s="97"/>
      <c r="BB382" s="97"/>
      <c r="BC382" s="97"/>
      <c r="BD382" s="97"/>
      <c r="BE382" s="97"/>
    </row>
    <row r="383" s="115" customFormat="1" customHeight="1" spans="1:57">
      <c r="A383" s="115" t="s">
        <v>4944</v>
      </c>
      <c r="B383" s="111" t="s">
        <v>4945</v>
      </c>
      <c r="C383" s="554" t="s">
        <v>4946</v>
      </c>
      <c r="D383" s="121" t="s">
        <v>4947</v>
      </c>
      <c r="E383" s="266">
        <v>13783162999</v>
      </c>
      <c r="F383" s="267">
        <v>1</v>
      </c>
      <c r="G383" s="268">
        <v>144</v>
      </c>
      <c r="H383" s="268">
        <v>26.68</v>
      </c>
      <c r="I383" s="274" t="s">
        <v>2657</v>
      </c>
      <c r="J383" s="113" t="s">
        <v>4948</v>
      </c>
      <c r="K383" s="266">
        <v>27.25</v>
      </c>
      <c r="L383" s="266" t="s">
        <v>3858</v>
      </c>
      <c r="M383" s="275" t="s">
        <v>4949</v>
      </c>
      <c r="N383" s="113" t="s">
        <v>66</v>
      </c>
      <c r="O383" s="113"/>
      <c r="P383" s="113"/>
      <c r="Q383" s="113">
        <v>46972.48</v>
      </c>
      <c r="R383" s="113">
        <v>1280000</v>
      </c>
      <c r="S383" s="280">
        <v>640000</v>
      </c>
      <c r="T383" s="281">
        <f t="shared" si="122"/>
        <v>640000</v>
      </c>
      <c r="U383" s="280"/>
      <c r="V383" s="280"/>
      <c r="W383" s="280"/>
      <c r="X383" s="280"/>
      <c r="Y383" s="113"/>
      <c r="Z383" s="113"/>
      <c r="AA383" s="275"/>
      <c r="AB383" s="113"/>
      <c r="AC383" s="113"/>
      <c r="AD383" s="113"/>
      <c r="AE383" s="133"/>
      <c r="AG383" s="133"/>
      <c r="AH383" s="133"/>
      <c r="AI383" s="132">
        <f t="shared" si="126"/>
        <v>640000</v>
      </c>
      <c r="AJ383" s="132">
        <f t="shared" si="127"/>
        <v>640000</v>
      </c>
      <c r="AK383" s="133">
        <f t="shared" si="128"/>
        <v>0</v>
      </c>
      <c r="AL383" s="132"/>
      <c r="AM383" s="133"/>
      <c r="AN383" s="246">
        <v>44841</v>
      </c>
      <c r="AO383" s="137"/>
      <c r="AP383" s="97"/>
      <c r="AQ383" s="97"/>
      <c r="AR383" s="97"/>
      <c r="AS383" s="97"/>
      <c r="AT383" s="97"/>
      <c r="AU383" s="97"/>
      <c r="AV383" s="97"/>
      <c r="AW383" s="97"/>
      <c r="AX383" s="97"/>
      <c r="AY383" s="97"/>
      <c r="AZ383" s="97"/>
      <c r="BA383" s="97"/>
      <c r="BB383" s="97"/>
      <c r="BC383" s="97"/>
      <c r="BD383" s="97"/>
      <c r="BE383" s="97"/>
    </row>
    <row r="384" s="115" customFormat="1" customHeight="1" spans="1:57">
      <c r="A384" s="115" t="s">
        <v>4950</v>
      </c>
      <c r="B384" s="111" t="s">
        <v>4951</v>
      </c>
      <c r="C384" s="554" t="s">
        <v>4952</v>
      </c>
      <c r="D384" s="121" t="s">
        <v>4953</v>
      </c>
      <c r="E384" s="266">
        <v>15837998588</v>
      </c>
      <c r="F384" s="267">
        <v>1</v>
      </c>
      <c r="G384" s="268">
        <v>139</v>
      </c>
      <c r="H384" s="268">
        <v>29.41</v>
      </c>
      <c r="I384" s="274" t="s">
        <v>2657</v>
      </c>
      <c r="J384" s="113" t="s">
        <v>4954</v>
      </c>
      <c r="K384" s="266">
        <v>28.36</v>
      </c>
      <c r="L384" s="266" t="s">
        <v>3858</v>
      </c>
      <c r="M384" s="275" t="s">
        <v>3061</v>
      </c>
      <c r="N384" s="113" t="s">
        <v>66</v>
      </c>
      <c r="O384" s="113"/>
      <c r="P384" s="113"/>
      <c r="Q384" s="113">
        <v>45133.99</v>
      </c>
      <c r="R384" s="113">
        <v>1280000</v>
      </c>
      <c r="S384" s="280">
        <v>640000</v>
      </c>
      <c r="T384" s="281">
        <f t="shared" si="122"/>
        <v>640000</v>
      </c>
      <c r="U384" s="280"/>
      <c r="V384" s="280"/>
      <c r="W384" s="280"/>
      <c r="X384" s="280"/>
      <c r="Y384" s="113"/>
      <c r="Z384" s="113"/>
      <c r="AA384" s="275"/>
      <c r="AB384" s="113"/>
      <c r="AC384" s="113"/>
      <c r="AD384" s="113"/>
      <c r="AE384" s="133"/>
      <c r="AG384" s="133" t="s">
        <v>4955</v>
      </c>
      <c r="AH384" s="133"/>
      <c r="AI384" s="132">
        <f t="shared" si="126"/>
        <v>640000</v>
      </c>
      <c r="AJ384" s="132">
        <f t="shared" si="127"/>
        <v>640000</v>
      </c>
      <c r="AK384" s="133">
        <f t="shared" si="128"/>
        <v>0</v>
      </c>
      <c r="AL384" s="132"/>
      <c r="AM384" s="133"/>
      <c r="AN384" s="246">
        <v>44841</v>
      </c>
      <c r="AO384" s="137"/>
      <c r="AP384" s="97"/>
      <c r="AQ384" s="97"/>
      <c r="AR384" s="97"/>
      <c r="AS384" s="97"/>
      <c r="AT384" s="97"/>
      <c r="AU384" s="97"/>
      <c r="AV384" s="97"/>
      <c r="AW384" s="97"/>
      <c r="AX384" s="97"/>
      <c r="AY384" s="97"/>
      <c r="AZ384" s="97"/>
      <c r="BA384" s="97"/>
      <c r="BB384" s="97"/>
      <c r="BC384" s="97"/>
      <c r="BD384" s="97"/>
      <c r="BE384" s="97"/>
    </row>
    <row r="385" s="115" customFormat="1" customHeight="1" spans="1:57">
      <c r="A385" s="115" t="s">
        <v>4956</v>
      </c>
      <c r="B385" s="111" t="s">
        <v>4957</v>
      </c>
      <c r="C385" s="554" t="s">
        <v>4958</v>
      </c>
      <c r="D385" s="121" t="s">
        <v>4959</v>
      </c>
      <c r="E385" s="266">
        <v>13838560229</v>
      </c>
      <c r="F385" s="267">
        <v>4</v>
      </c>
      <c r="G385" s="268">
        <v>4469</v>
      </c>
      <c r="H385" s="268">
        <v>19.37</v>
      </c>
      <c r="I385" s="274" t="s">
        <v>2657</v>
      </c>
      <c r="J385" s="113" t="s">
        <v>4960</v>
      </c>
      <c r="K385" s="266">
        <v>16.95</v>
      </c>
      <c r="L385" s="266" t="s">
        <v>2842</v>
      </c>
      <c r="M385" s="275" t="s">
        <v>4312</v>
      </c>
      <c r="N385" s="113" t="s">
        <v>66</v>
      </c>
      <c r="O385" s="113"/>
      <c r="P385" s="113"/>
      <c r="Q385" s="113">
        <v>26899.71</v>
      </c>
      <c r="R385" s="113">
        <v>521047</v>
      </c>
      <c r="S385" s="280">
        <v>261047</v>
      </c>
      <c r="T385" s="281">
        <f t="shared" si="122"/>
        <v>260000</v>
      </c>
      <c r="U385" s="280"/>
      <c r="V385" s="280">
        <v>1259</v>
      </c>
      <c r="W385" s="280">
        <v>560</v>
      </c>
      <c r="X385" s="280"/>
      <c r="Y385" s="113" t="s">
        <v>2669</v>
      </c>
      <c r="Z385" s="113"/>
      <c r="AA385" s="275"/>
      <c r="AB385" s="113" t="s">
        <v>4961</v>
      </c>
      <c r="AC385" s="113">
        <v>1246</v>
      </c>
      <c r="AD385" s="113"/>
      <c r="AE385" s="133"/>
      <c r="AG385" s="133"/>
      <c r="AH385" s="133"/>
      <c r="AI385" s="132">
        <f t="shared" si="126"/>
        <v>264112</v>
      </c>
      <c r="AJ385" s="132">
        <f t="shared" si="127"/>
        <v>262866</v>
      </c>
      <c r="AK385" s="133">
        <f t="shared" si="128"/>
        <v>1246</v>
      </c>
      <c r="AL385" s="132"/>
      <c r="AM385" s="133"/>
      <c r="AN385" s="246">
        <v>44841</v>
      </c>
      <c r="AO385" s="137"/>
      <c r="AP385" s="97"/>
      <c r="AQ385" s="97"/>
      <c r="AR385" s="97"/>
      <c r="AS385" s="97"/>
      <c r="AT385" s="97"/>
      <c r="AU385" s="97"/>
      <c r="AV385" s="97"/>
      <c r="AW385" s="97"/>
      <c r="AX385" s="97"/>
      <c r="AY385" s="97"/>
      <c r="AZ385" s="97"/>
      <c r="BA385" s="97"/>
      <c r="BB385" s="97"/>
      <c r="BC385" s="97"/>
      <c r="BD385" s="97"/>
      <c r="BE385" s="97"/>
    </row>
    <row r="386" s="115" customFormat="1" customHeight="1" spans="1:57">
      <c r="A386" s="115" t="s">
        <v>4962</v>
      </c>
      <c r="B386" s="111" t="s">
        <v>4963</v>
      </c>
      <c r="C386" s="554" t="s">
        <v>4964</v>
      </c>
      <c r="D386" s="121" t="s">
        <v>4965</v>
      </c>
      <c r="E386" s="266">
        <v>15038281678</v>
      </c>
      <c r="F386" s="267">
        <v>4</v>
      </c>
      <c r="G386" s="268">
        <v>4473</v>
      </c>
      <c r="H386" s="268">
        <v>24.09</v>
      </c>
      <c r="I386" s="274" t="s">
        <v>2657</v>
      </c>
      <c r="J386" s="113" t="s">
        <v>4966</v>
      </c>
      <c r="K386" s="266">
        <v>22.82</v>
      </c>
      <c r="L386" s="266" t="s">
        <v>4567</v>
      </c>
      <c r="M386" s="275" t="s">
        <v>4967</v>
      </c>
      <c r="N386" s="113" t="s">
        <v>66</v>
      </c>
      <c r="O386" s="113"/>
      <c r="P386" s="113"/>
      <c r="Q386" s="113">
        <v>26787.25</v>
      </c>
      <c r="R386" s="113">
        <v>645305</v>
      </c>
      <c r="S386" s="280">
        <v>325305</v>
      </c>
      <c r="T386" s="281">
        <f t="shared" si="122"/>
        <v>320000</v>
      </c>
      <c r="U386" s="280"/>
      <c r="V386" s="280">
        <v>1565</v>
      </c>
      <c r="W386" s="280">
        <v>550</v>
      </c>
      <c r="X386" s="280"/>
      <c r="Y386" s="113" t="s">
        <v>2669</v>
      </c>
      <c r="Z386" s="113"/>
      <c r="AA386" s="275"/>
      <c r="AB386" s="113"/>
      <c r="AC386" s="113">
        <v>1252</v>
      </c>
      <c r="AD386" s="113"/>
      <c r="AE386" s="133"/>
      <c r="AG386" s="133"/>
      <c r="AH386" s="133"/>
      <c r="AI386" s="132">
        <f t="shared" si="126"/>
        <v>328672</v>
      </c>
      <c r="AJ386" s="132">
        <f t="shared" si="127"/>
        <v>327420</v>
      </c>
      <c r="AK386" s="133">
        <f t="shared" si="128"/>
        <v>1252</v>
      </c>
      <c r="AL386" s="132"/>
      <c r="AM386" s="133"/>
      <c r="AN386" s="246">
        <v>44841</v>
      </c>
      <c r="AO386" s="137"/>
      <c r="AP386" s="97"/>
      <c r="AQ386" s="97"/>
      <c r="AR386" s="97"/>
      <c r="AS386" s="97"/>
      <c r="AT386" s="97"/>
      <c r="AU386" s="97"/>
      <c r="AV386" s="97"/>
      <c r="AW386" s="97"/>
      <c r="AX386" s="97"/>
      <c r="AY386" s="97"/>
      <c r="AZ386" s="97"/>
      <c r="BA386" s="97"/>
      <c r="BB386" s="97"/>
      <c r="BC386" s="97"/>
      <c r="BD386" s="97"/>
      <c r="BE386" s="97"/>
    </row>
    <row r="387" s="115" customFormat="1" customHeight="1" spans="1:57">
      <c r="A387" s="115" t="s">
        <v>4968</v>
      </c>
      <c r="B387" s="111" t="s">
        <v>4969</v>
      </c>
      <c r="C387" s="554" t="s">
        <v>4970</v>
      </c>
      <c r="D387" s="121" t="s">
        <v>4971</v>
      </c>
      <c r="E387" s="266">
        <v>13523466756</v>
      </c>
      <c r="F387" s="267">
        <v>1</v>
      </c>
      <c r="G387" s="268">
        <v>1577</v>
      </c>
      <c r="H387" s="268">
        <v>20.92</v>
      </c>
      <c r="I387" s="274" t="s">
        <v>2657</v>
      </c>
      <c r="J387" s="113" t="s">
        <v>4972</v>
      </c>
      <c r="K387" s="266">
        <v>21.34</v>
      </c>
      <c r="L387" s="266" t="s">
        <v>3073</v>
      </c>
      <c r="M387" s="275" t="s">
        <v>3074</v>
      </c>
      <c r="N387" s="113" t="s">
        <v>66</v>
      </c>
      <c r="O387" s="113"/>
      <c r="P387" s="113"/>
      <c r="Q387" s="113">
        <v>47267.2</v>
      </c>
      <c r="R387" s="113">
        <v>1008682</v>
      </c>
      <c r="S387" s="280">
        <v>508682</v>
      </c>
      <c r="T387" s="281">
        <f t="shared" si="122"/>
        <v>500000</v>
      </c>
      <c r="U387" s="280"/>
      <c r="V387" s="280"/>
      <c r="W387" s="280"/>
      <c r="X387" s="280"/>
      <c r="Y387" s="113" t="s">
        <v>2669</v>
      </c>
      <c r="Z387" s="113"/>
      <c r="AA387" s="275"/>
      <c r="AB387" s="113"/>
      <c r="AC387" s="113"/>
      <c r="AD387" s="113"/>
      <c r="AE387" s="133"/>
      <c r="AG387" s="133"/>
      <c r="AH387" s="133"/>
      <c r="AI387" s="132">
        <f t="shared" si="126"/>
        <v>508682</v>
      </c>
      <c r="AJ387" s="132">
        <f t="shared" si="127"/>
        <v>508682</v>
      </c>
      <c r="AK387" s="133">
        <f t="shared" si="128"/>
        <v>0</v>
      </c>
      <c r="AL387" s="132"/>
      <c r="AM387" s="133"/>
      <c r="AN387" s="246">
        <v>44841</v>
      </c>
      <c r="AO387" s="137"/>
      <c r="AP387" s="97"/>
      <c r="AQ387" s="97"/>
      <c r="AR387" s="97"/>
      <c r="AS387" s="97"/>
      <c r="AT387" s="97"/>
      <c r="AU387" s="97"/>
      <c r="AV387" s="97"/>
      <c r="AW387" s="97"/>
      <c r="AX387" s="97"/>
      <c r="AY387" s="97"/>
      <c r="AZ387" s="97"/>
      <c r="BA387" s="97"/>
      <c r="BB387" s="97"/>
      <c r="BC387" s="97"/>
      <c r="BD387" s="97"/>
      <c r="BE387" s="97"/>
    </row>
    <row r="388" s="115" customFormat="1" customHeight="1" spans="1:57">
      <c r="A388" s="115" t="s">
        <v>4973</v>
      </c>
      <c r="B388" s="111" t="s">
        <v>4974</v>
      </c>
      <c r="C388" s="111" t="s">
        <v>4975</v>
      </c>
      <c r="D388" s="121" t="s">
        <v>4976</v>
      </c>
      <c r="E388" s="266">
        <v>15993773699</v>
      </c>
      <c r="F388" s="267">
        <v>3</v>
      </c>
      <c r="G388" s="268">
        <v>326</v>
      </c>
      <c r="H388" s="268">
        <v>46.59</v>
      </c>
      <c r="I388" s="274" t="s">
        <v>2657</v>
      </c>
      <c r="J388" s="111" t="s">
        <v>4977</v>
      </c>
      <c r="K388" s="266" t="s">
        <v>4978</v>
      </c>
      <c r="L388" s="266" t="s">
        <v>4670</v>
      </c>
      <c r="M388" s="275" t="s">
        <v>3332</v>
      </c>
      <c r="N388" s="113" t="s">
        <v>66</v>
      </c>
      <c r="O388" s="113"/>
      <c r="P388" s="113"/>
      <c r="Q388" s="113">
        <v>31985.43</v>
      </c>
      <c r="R388" s="113">
        <v>1490201</v>
      </c>
      <c r="S388" s="280">
        <v>750201</v>
      </c>
      <c r="T388" s="281">
        <f t="shared" si="122"/>
        <v>740000</v>
      </c>
      <c r="U388" s="280"/>
      <c r="V388" s="280">
        <v>3028</v>
      </c>
      <c r="W388" s="280">
        <v>550</v>
      </c>
      <c r="X388" s="280"/>
      <c r="Y388" s="113" t="s">
        <v>2669</v>
      </c>
      <c r="Z388" s="113"/>
      <c r="AA388" s="275"/>
      <c r="AB388" s="113"/>
      <c r="AC388" s="113"/>
      <c r="AD388" s="113"/>
      <c r="AE388" s="133"/>
      <c r="AG388" s="133"/>
      <c r="AH388" s="133"/>
      <c r="AI388" s="132">
        <f t="shared" si="126"/>
        <v>753779</v>
      </c>
      <c r="AJ388" s="132">
        <f t="shared" si="127"/>
        <v>753779</v>
      </c>
      <c r="AK388" s="133">
        <f t="shared" si="128"/>
        <v>0</v>
      </c>
      <c r="AL388" s="132"/>
      <c r="AM388" s="133"/>
      <c r="AN388" s="246">
        <v>44841</v>
      </c>
      <c r="AO388" s="137" t="s">
        <v>4637</v>
      </c>
      <c r="AP388" s="97"/>
      <c r="AQ388" s="97"/>
      <c r="AR388" s="97"/>
      <c r="AS388" s="97"/>
      <c r="AT388" s="97"/>
      <c r="AU388" s="97"/>
      <c r="AV388" s="97"/>
      <c r="AW388" s="97"/>
      <c r="AX388" s="97"/>
      <c r="AY388" s="97"/>
      <c r="AZ388" s="97"/>
      <c r="BA388" s="97"/>
      <c r="BB388" s="97"/>
      <c r="BC388" s="97"/>
      <c r="BD388" s="97"/>
      <c r="BE388" s="97"/>
    </row>
    <row r="389" s="115" customFormat="1" customHeight="1" spans="1:57">
      <c r="A389" s="115" t="s">
        <v>4979</v>
      </c>
      <c r="B389" s="111" t="s">
        <v>4980</v>
      </c>
      <c r="C389" s="554" t="s">
        <v>4981</v>
      </c>
      <c r="D389" s="121" t="s">
        <v>4982</v>
      </c>
      <c r="E389" s="266">
        <v>13523023831</v>
      </c>
      <c r="F389" s="267">
        <v>4</v>
      </c>
      <c r="G389" s="268">
        <v>4253</v>
      </c>
      <c r="H389" s="268">
        <v>11.57</v>
      </c>
      <c r="I389" s="274" t="s">
        <v>2657</v>
      </c>
      <c r="J389" s="113" t="s">
        <v>4983</v>
      </c>
      <c r="K389" s="266">
        <v>8.44</v>
      </c>
      <c r="L389" s="266" t="s">
        <v>3035</v>
      </c>
      <c r="M389" s="275" t="s">
        <v>3035</v>
      </c>
      <c r="N389" s="113" t="s">
        <v>56</v>
      </c>
      <c r="O389" s="113"/>
      <c r="P389" s="113"/>
      <c r="Q389" s="113">
        <v>27014.22</v>
      </c>
      <c r="R389" s="113">
        <v>228000</v>
      </c>
      <c r="S389" s="280">
        <v>228000</v>
      </c>
      <c r="T389" s="281">
        <f t="shared" si="122"/>
        <v>0</v>
      </c>
      <c r="U389" s="280"/>
      <c r="V389" s="280"/>
      <c r="W389" s="280"/>
      <c r="X389" s="280"/>
      <c r="Y389" s="113"/>
      <c r="Z389" s="113"/>
      <c r="AA389" s="275"/>
      <c r="AB389" s="113" t="s">
        <v>4984</v>
      </c>
      <c r="AC389" s="113"/>
      <c r="AD389" s="113"/>
      <c r="AE389" s="133"/>
      <c r="AG389" s="133" t="s">
        <v>4985</v>
      </c>
      <c r="AH389" s="133"/>
      <c r="AI389" s="132">
        <f t="shared" si="126"/>
        <v>228000</v>
      </c>
      <c r="AJ389" s="132">
        <f t="shared" si="127"/>
        <v>228000</v>
      </c>
      <c r="AK389" s="133">
        <f t="shared" si="128"/>
        <v>0</v>
      </c>
      <c r="AL389" s="132"/>
      <c r="AM389" s="133"/>
      <c r="AN389" s="246">
        <v>44841</v>
      </c>
      <c r="AO389" s="137"/>
      <c r="AP389" s="97"/>
      <c r="AQ389" s="97"/>
      <c r="AR389" s="97"/>
      <c r="AS389" s="97"/>
      <c r="AT389" s="97"/>
      <c r="AU389" s="97"/>
      <c r="AV389" s="97"/>
      <c r="AW389" s="97"/>
      <c r="AX389" s="97"/>
      <c r="AY389" s="97"/>
      <c r="AZ389" s="97"/>
      <c r="BA389" s="97"/>
      <c r="BB389" s="97"/>
      <c r="BC389" s="97"/>
      <c r="BD389" s="97"/>
      <c r="BE389" s="97"/>
    </row>
    <row r="390" s="115" customFormat="1" customHeight="1" spans="1:58">
      <c r="A390" s="115" t="s">
        <v>4986</v>
      </c>
      <c r="B390" s="111" t="s">
        <v>4987</v>
      </c>
      <c r="C390" s="111" t="s">
        <v>4988</v>
      </c>
      <c r="D390" s="121" t="s">
        <v>4989</v>
      </c>
      <c r="E390" s="266">
        <v>18236750186</v>
      </c>
      <c r="F390" s="267">
        <v>3</v>
      </c>
      <c r="G390" s="268">
        <v>3255</v>
      </c>
      <c r="H390" s="268">
        <v>20.01</v>
      </c>
      <c r="I390" s="274" t="s">
        <v>2657</v>
      </c>
      <c r="J390" s="113" t="s">
        <v>4990</v>
      </c>
      <c r="K390" s="266">
        <v>22</v>
      </c>
      <c r="L390" s="266" t="s">
        <v>3282</v>
      </c>
      <c r="M390" s="275" t="s">
        <v>3282</v>
      </c>
      <c r="N390" s="113" t="s">
        <v>66</v>
      </c>
      <c r="O390" s="113"/>
      <c r="P390" s="113"/>
      <c r="Q390" s="113">
        <v>31691.82</v>
      </c>
      <c r="R390" s="113">
        <v>697220</v>
      </c>
      <c r="S390" s="280">
        <v>357220</v>
      </c>
      <c r="T390" s="281">
        <f t="shared" si="122"/>
        <v>340000</v>
      </c>
      <c r="U390" s="280"/>
      <c r="V390" s="280"/>
      <c r="W390" s="280"/>
      <c r="X390" s="280"/>
      <c r="Y390" s="113"/>
      <c r="Z390" s="113"/>
      <c r="AA390" s="275"/>
      <c r="AB390" s="113"/>
      <c r="AC390" s="113"/>
      <c r="AD390" s="113"/>
      <c r="AF390" s="133"/>
      <c r="AG390" s="133"/>
      <c r="AH390" s="133"/>
      <c r="AI390" s="132">
        <f t="shared" si="126"/>
        <v>357220</v>
      </c>
      <c r="AJ390" s="132">
        <f t="shared" si="127"/>
        <v>357220</v>
      </c>
      <c r="AK390" s="133">
        <f t="shared" si="128"/>
        <v>0</v>
      </c>
      <c r="AL390" s="132"/>
      <c r="AM390" s="133"/>
      <c r="AN390" s="246"/>
      <c r="AO390" s="288"/>
      <c r="AP390" s="288"/>
      <c r="AQ390" s="97"/>
      <c r="AR390" s="97"/>
      <c r="AS390" s="97"/>
      <c r="AT390" s="97"/>
      <c r="AU390" s="97"/>
      <c r="AV390" s="97"/>
      <c r="AW390" s="97"/>
      <c r="AX390" s="97"/>
      <c r="AY390" s="97"/>
      <c r="AZ390" s="97"/>
      <c r="BA390" s="97"/>
      <c r="BB390" s="97"/>
      <c r="BC390" s="97"/>
      <c r="BD390" s="97"/>
      <c r="BE390" s="97"/>
      <c r="BF390" s="97"/>
    </row>
    <row r="391" s="115" customFormat="1" customHeight="1" spans="1:57">
      <c r="A391" s="115" t="s">
        <v>4991</v>
      </c>
      <c r="B391" s="111" t="s">
        <v>4992</v>
      </c>
      <c r="C391" s="554" t="s">
        <v>4993</v>
      </c>
      <c r="D391" s="121" t="s">
        <v>4994</v>
      </c>
      <c r="E391" s="266">
        <v>13903771552</v>
      </c>
      <c r="F391" s="267">
        <v>1</v>
      </c>
      <c r="G391" s="268">
        <v>1542</v>
      </c>
      <c r="H391" s="268">
        <v>26.51</v>
      </c>
      <c r="I391" s="274" t="s">
        <v>2657</v>
      </c>
      <c r="J391" s="113" t="s">
        <v>4995</v>
      </c>
      <c r="K391" s="266">
        <v>28.08</v>
      </c>
      <c r="L391" s="266" t="s">
        <v>3096</v>
      </c>
      <c r="M391" s="275" t="s">
        <v>3733</v>
      </c>
      <c r="N391" s="113" t="s">
        <v>56</v>
      </c>
      <c r="O391" s="113"/>
      <c r="P391" s="113"/>
      <c r="Q391" s="113">
        <v>46604.34</v>
      </c>
      <c r="R391" s="113">
        <v>1235481</v>
      </c>
      <c r="S391" s="280">
        <v>1235481</v>
      </c>
      <c r="T391" s="281">
        <v>0</v>
      </c>
      <c r="U391" s="280"/>
      <c r="V391" s="280">
        <v>1723</v>
      </c>
      <c r="W391" s="280">
        <v>550</v>
      </c>
      <c r="X391" s="280"/>
      <c r="Y391" s="113" t="s">
        <v>2669</v>
      </c>
      <c r="Z391" s="113" t="s">
        <v>48</v>
      </c>
      <c r="AA391" s="275">
        <v>44186</v>
      </c>
      <c r="AB391" s="113"/>
      <c r="AC391" s="113"/>
      <c r="AD391" s="113"/>
      <c r="AE391" s="133"/>
      <c r="AG391" s="133"/>
      <c r="AH391" s="133"/>
      <c r="AI391" s="132">
        <f t="shared" ref="AI391:AI396" si="129">S391+U391+V391+W391+X391+AC391+AD391+AE391</f>
        <v>1237754</v>
      </c>
      <c r="AJ391" s="132">
        <f t="shared" ref="AJ391:AJ396" si="130">S391+U391+V391+W391+X391</f>
        <v>1237754</v>
      </c>
      <c r="AK391" s="133">
        <f t="shared" ref="AK391:AK396" si="131">AI391-AJ391</f>
        <v>0</v>
      </c>
      <c r="AL391" s="132"/>
      <c r="AM391" s="133"/>
      <c r="AN391" s="246">
        <v>44841</v>
      </c>
      <c r="AO391" s="137"/>
      <c r="AP391" s="97"/>
      <c r="AQ391" s="97"/>
      <c r="AR391" s="97"/>
      <c r="AS391" s="97"/>
      <c r="AT391" s="97"/>
      <c r="AU391" s="97"/>
      <c r="AV391" s="97"/>
      <c r="AW391" s="97"/>
      <c r="AX391" s="97"/>
      <c r="AY391" s="97"/>
      <c r="AZ391" s="97"/>
      <c r="BA391" s="97"/>
      <c r="BB391" s="97"/>
      <c r="BC391" s="97"/>
      <c r="BD391" s="97"/>
      <c r="BE391" s="97"/>
    </row>
    <row r="392" s="115" customFormat="1" customHeight="1" spans="1:57">
      <c r="A392" s="115" t="s">
        <v>4996</v>
      </c>
      <c r="B392" s="111" t="s">
        <v>4992</v>
      </c>
      <c r="C392" s="554" t="s">
        <v>4993</v>
      </c>
      <c r="D392" s="121" t="s">
        <v>4994</v>
      </c>
      <c r="E392" s="266">
        <v>13903771552</v>
      </c>
      <c r="F392" s="267">
        <v>1</v>
      </c>
      <c r="G392" s="268">
        <v>1711</v>
      </c>
      <c r="H392" s="268">
        <v>19.52</v>
      </c>
      <c r="I392" s="274" t="s">
        <v>2657</v>
      </c>
      <c r="J392" s="113" t="s">
        <v>4997</v>
      </c>
      <c r="K392" s="266">
        <v>22.91</v>
      </c>
      <c r="L392" s="266" t="s">
        <v>3558</v>
      </c>
      <c r="M392" s="275" t="s">
        <v>4998</v>
      </c>
      <c r="N392" s="113" t="s">
        <v>56</v>
      </c>
      <c r="O392" s="113"/>
      <c r="P392" s="113"/>
      <c r="Q392" s="113">
        <v>45547.75</v>
      </c>
      <c r="R392" s="113">
        <v>889092</v>
      </c>
      <c r="S392" s="280">
        <v>889092</v>
      </c>
      <c r="T392" s="281">
        <v>0</v>
      </c>
      <c r="U392" s="280"/>
      <c r="V392" s="280">
        <v>1268</v>
      </c>
      <c r="W392" s="280">
        <v>550</v>
      </c>
      <c r="X392" s="280"/>
      <c r="Y392" s="113" t="s">
        <v>2669</v>
      </c>
      <c r="Z392" s="113" t="s">
        <v>48</v>
      </c>
      <c r="AA392" s="275">
        <v>44186</v>
      </c>
      <c r="AB392" s="113" t="s">
        <v>4999</v>
      </c>
      <c r="AC392" s="113"/>
      <c r="AD392" s="113"/>
      <c r="AE392" s="133"/>
      <c r="AG392" s="133"/>
      <c r="AH392" s="133"/>
      <c r="AI392" s="132">
        <f t="shared" si="129"/>
        <v>890910</v>
      </c>
      <c r="AJ392" s="132">
        <f t="shared" si="130"/>
        <v>890910</v>
      </c>
      <c r="AK392" s="133">
        <f t="shared" si="131"/>
        <v>0</v>
      </c>
      <c r="AL392" s="132"/>
      <c r="AM392" s="133"/>
      <c r="AN392" s="246">
        <v>44841</v>
      </c>
      <c r="AO392" s="137"/>
      <c r="AP392" s="97"/>
      <c r="AQ392" s="97"/>
      <c r="AR392" s="97"/>
      <c r="AS392" s="97"/>
      <c r="AT392" s="97"/>
      <c r="AU392" s="97"/>
      <c r="AV392" s="97"/>
      <c r="AW392" s="97"/>
      <c r="AX392" s="97"/>
      <c r="AY392" s="97"/>
      <c r="AZ392" s="97"/>
      <c r="BA392" s="97"/>
      <c r="BB392" s="97"/>
      <c r="BC392" s="97"/>
      <c r="BD392" s="97"/>
      <c r="BE392" s="97"/>
    </row>
    <row r="393" s="115" customFormat="1" customHeight="1" spans="1:57">
      <c r="A393" s="115" t="s">
        <v>5000</v>
      </c>
      <c r="B393" s="111" t="s">
        <v>5001</v>
      </c>
      <c r="C393" s="111" t="s">
        <v>5002</v>
      </c>
      <c r="D393" s="121"/>
      <c r="E393" s="266">
        <v>17739511609</v>
      </c>
      <c r="F393" s="267">
        <v>4</v>
      </c>
      <c r="G393" s="268">
        <v>4339</v>
      </c>
      <c r="H393" s="268">
        <v>43.3</v>
      </c>
      <c r="I393" s="274" t="s">
        <v>2665</v>
      </c>
      <c r="J393" s="113" t="s">
        <v>5003</v>
      </c>
      <c r="K393" s="266">
        <v>49.13</v>
      </c>
      <c r="L393" s="266" t="s">
        <v>2711</v>
      </c>
      <c r="M393" s="275" t="s">
        <v>3766</v>
      </c>
      <c r="N393" s="113" t="s">
        <v>56</v>
      </c>
      <c r="O393" s="113"/>
      <c r="P393" s="113"/>
      <c r="Q393" s="113">
        <v>19144.7</v>
      </c>
      <c r="R393" s="113">
        <v>828965</v>
      </c>
      <c r="S393" s="280">
        <v>828965</v>
      </c>
      <c r="T393" s="281">
        <f t="shared" ref="T393:T400" si="132">R393-S393</f>
        <v>0</v>
      </c>
      <c r="U393" s="280"/>
      <c r="V393" s="280">
        <v>2814</v>
      </c>
      <c r="W393" s="280">
        <v>550</v>
      </c>
      <c r="X393" s="280">
        <v>108249</v>
      </c>
      <c r="Y393" s="113" t="s">
        <v>2669</v>
      </c>
      <c r="Z393" s="113" t="s">
        <v>48</v>
      </c>
      <c r="AA393" s="275">
        <v>44019</v>
      </c>
      <c r="AB393" s="113" t="s">
        <v>5004</v>
      </c>
      <c r="AC393" s="113"/>
      <c r="AD393" s="113"/>
      <c r="AE393" s="133"/>
      <c r="AG393" s="133"/>
      <c r="AH393" s="133"/>
      <c r="AI393" s="132">
        <f t="shared" si="129"/>
        <v>940578</v>
      </c>
      <c r="AJ393" s="132">
        <f t="shared" si="130"/>
        <v>940578</v>
      </c>
      <c r="AK393" s="133">
        <f t="shared" si="131"/>
        <v>0</v>
      </c>
      <c r="AL393" s="132"/>
      <c r="AM393" s="133"/>
      <c r="AN393" s="246">
        <v>44841</v>
      </c>
      <c r="AO393" s="137"/>
      <c r="AP393" s="97"/>
      <c r="AQ393" s="97"/>
      <c r="AR393" s="97"/>
      <c r="AS393" s="97"/>
      <c r="AT393" s="97"/>
      <c r="AU393" s="97"/>
      <c r="AV393" s="97"/>
      <c r="AW393" s="97"/>
      <c r="AX393" s="97"/>
      <c r="AY393" s="97"/>
      <c r="AZ393" s="97"/>
      <c r="BA393" s="97"/>
      <c r="BB393" s="97"/>
      <c r="BC393" s="97"/>
      <c r="BD393" s="97"/>
      <c r="BE393" s="97"/>
    </row>
    <row r="394" s="115" customFormat="1" customHeight="1" spans="1:57">
      <c r="A394" s="115" t="s">
        <v>5005</v>
      </c>
      <c r="B394" s="111" t="s">
        <v>5006</v>
      </c>
      <c r="C394" s="554" t="s">
        <v>5007</v>
      </c>
      <c r="D394" s="121" t="s">
        <v>5008</v>
      </c>
      <c r="E394" s="266" t="s">
        <v>5009</v>
      </c>
      <c r="F394" s="267">
        <v>4</v>
      </c>
      <c r="G394" s="268">
        <v>4227</v>
      </c>
      <c r="H394" s="268">
        <v>30.01</v>
      </c>
      <c r="I394" s="274" t="s">
        <v>2657</v>
      </c>
      <c r="J394" s="113" t="s">
        <v>5010</v>
      </c>
      <c r="K394" s="266">
        <v>26.61</v>
      </c>
      <c r="L394" s="266" t="s">
        <v>3522</v>
      </c>
      <c r="M394" s="275" t="s">
        <v>3060</v>
      </c>
      <c r="N394" s="113" t="s">
        <v>66</v>
      </c>
      <c r="O394" s="113"/>
      <c r="P394" s="113"/>
      <c r="Q394" s="113">
        <v>25529.35</v>
      </c>
      <c r="R394" s="113">
        <v>679336</v>
      </c>
      <c r="S394" s="280">
        <v>349336</v>
      </c>
      <c r="T394" s="281">
        <f t="shared" si="132"/>
        <v>330000</v>
      </c>
      <c r="U394" s="280"/>
      <c r="V394" s="280"/>
      <c r="W394" s="280"/>
      <c r="X394" s="280"/>
      <c r="Y394" s="113"/>
      <c r="Z394" s="113"/>
      <c r="AA394" s="275"/>
      <c r="AB394" s="113"/>
      <c r="AC394" s="113"/>
      <c r="AD394" s="113"/>
      <c r="AE394" s="133"/>
      <c r="AG394" s="133"/>
      <c r="AH394" s="133"/>
      <c r="AI394" s="132">
        <f t="shared" si="129"/>
        <v>349336</v>
      </c>
      <c r="AJ394" s="132">
        <f t="shared" si="130"/>
        <v>349336</v>
      </c>
      <c r="AK394" s="133">
        <f t="shared" si="131"/>
        <v>0</v>
      </c>
      <c r="AL394" s="132"/>
      <c r="AM394" s="133"/>
      <c r="AN394" s="246">
        <v>44841</v>
      </c>
      <c r="AO394" s="137"/>
      <c r="AP394" s="97"/>
      <c r="AQ394" s="97"/>
      <c r="AR394" s="97"/>
      <c r="AS394" s="97"/>
      <c r="AT394" s="97"/>
      <c r="AU394" s="97"/>
      <c r="AV394" s="97"/>
      <c r="AW394" s="97"/>
      <c r="AX394" s="97"/>
      <c r="AY394" s="97"/>
      <c r="AZ394" s="97"/>
      <c r="BA394" s="97"/>
      <c r="BB394" s="97"/>
      <c r="BC394" s="97"/>
      <c r="BD394" s="97"/>
      <c r="BE394" s="97"/>
    </row>
    <row r="395" s="115" customFormat="1" customHeight="1" spans="1:57">
      <c r="A395" s="115" t="s">
        <v>5011</v>
      </c>
      <c r="B395" s="111" t="s">
        <v>5012</v>
      </c>
      <c r="C395" s="111" t="s">
        <v>5013</v>
      </c>
      <c r="D395" s="121" t="s">
        <v>5014</v>
      </c>
      <c r="E395" s="266">
        <v>15936400481</v>
      </c>
      <c r="F395" s="267">
        <v>3</v>
      </c>
      <c r="G395" s="268">
        <v>3741</v>
      </c>
      <c r="H395" s="268">
        <v>19.6</v>
      </c>
      <c r="I395" s="274" t="s">
        <v>2657</v>
      </c>
      <c r="J395" s="113" t="s">
        <v>5015</v>
      </c>
      <c r="K395" s="266">
        <v>17.78</v>
      </c>
      <c r="L395" s="266" t="s">
        <v>3008</v>
      </c>
      <c r="M395" s="275" t="s">
        <v>4312</v>
      </c>
      <c r="N395" s="113" t="s">
        <v>66</v>
      </c>
      <c r="O395" s="113"/>
      <c r="P395" s="113"/>
      <c r="Q395" s="113">
        <v>32091.45</v>
      </c>
      <c r="R395" s="113">
        <v>628992</v>
      </c>
      <c r="S395" s="280">
        <v>318992</v>
      </c>
      <c r="T395" s="281">
        <f t="shared" si="132"/>
        <v>310000</v>
      </c>
      <c r="U395" s="280"/>
      <c r="V395" s="280">
        <v>1274</v>
      </c>
      <c r="W395" s="280">
        <v>550</v>
      </c>
      <c r="X395" s="280"/>
      <c r="Y395" s="113" t="s">
        <v>2669</v>
      </c>
      <c r="Z395" s="113"/>
      <c r="AA395" s="275"/>
      <c r="AB395" s="113"/>
      <c r="AC395" s="113">
        <v>1251</v>
      </c>
      <c r="AD395" s="113"/>
      <c r="AE395" s="133"/>
      <c r="AG395" s="133"/>
      <c r="AH395" s="133"/>
      <c r="AI395" s="132">
        <f t="shared" si="129"/>
        <v>322067</v>
      </c>
      <c r="AJ395" s="132">
        <f t="shared" si="130"/>
        <v>320816</v>
      </c>
      <c r="AK395" s="133">
        <f t="shared" si="131"/>
        <v>1251</v>
      </c>
      <c r="AL395" s="132"/>
      <c r="AM395" s="133"/>
      <c r="AN395" s="246">
        <v>44841</v>
      </c>
      <c r="AO395" s="137"/>
      <c r="AP395" s="97"/>
      <c r="AQ395" s="97"/>
      <c r="AR395" s="97"/>
      <c r="AS395" s="97"/>
      <c r="AT395" s="97"/>
      <c r="AU395" s="97"/>
      <c r="AV395" s="97"/>
      <c r="AW395" s="97"/>
      <c r="AX395" s="97"/>
      <c r="AY395" s="97"/>
      <c r="AZ395" s="97"/>
      <c r="BA395" s="97"/>
      <c r="BB395" s="97"/>
      <c r="BC395" s="97"/>
      <c r="BD395" s="97"/>
      <c r="BE395" s="97"/>
    </row>
    <row r="396" s="115" customFormat="1" customHeight="1" spans="1:57">
      <c r="A396" s="115" t="s">
        <v>5016</v>
      </c>
      <c r="B396" s="111" t="s">
        <v>5017</v>
      </c>
      <c r="C396" s="111" t="s">
        <v>5018</v>
      </c>
      <c r="D396" s="121" t="s">
        <v>5019</v>
      </c>
      <c r="E396" s="266" t="s">
        <v>5020</v>
      </c>
      <c r="F396" s="267">
        <v>1</v>
      </c>
      <c r="G396" s="268">
        <v>1160</v>
      </c>
      <c r="H396" s="268">
        <v>28.92</v>
      </c>
      <c r="I396" s="274" t="s">
        <v>2665</v>
      </c>
      <c r="J396" s="113" t="s">
        <v>5021</v>
      </c>
      <c r="K396" s="266">
        <v>34.08</v>
      </c>
      <c r="L396" s="266" t="s">
        <v>5022</v>
      </c>
      <c r="M396" s="275" t="s">
        <v>5023</v>
      </c>
      <c r="N396" s="113" t="s">
        <v>66</v>
      </c>
      <c r="O396" s="113"/>
      <c r="P396" s="113"/>
      <c r="Q396" s="113">
        <v>42845.01</v>
      </c>
      <c r="R396" s="113">
        <v>1460158</v>
      </c>
      <c r="S396" s="280">
        <v>730158</v>
      </c>
      <c r="T396" s="281">
        <f t="shared" si="132"/>
        <v>730000</v>
      </c>
      <c r="U396" s="280"/>
      <c r="V396" s="280"/>
      <c r="W396" s="280"/>
      <c r="X396" s="280"/>
      <c r="Y396" s="113"/>
      <c r="Z396" s="113"/>
      <c r="AA396" s="275"/>
      <c r="AB396" s="113"/>
      <c r="AC396" s="113"/>
      <c r="AD396" s="113"/>
      <c r="AE396" s="133"/>
      <c r="AG396" s="133"/>
      <c r="AH396" s="133"/>
      <c r="AI396" s="132">
        <f t="shared" si="129"/>
        <v>730158</v>
      </c>
      <c r="AJ396" s="132">
        <f t="shared" si="130"/>
        <v>730158</v>
      </c>
      <c r="AK396" s="133">
        <f t="shared" si="131"/>
        <v>0</v>
      </c>
      <c r="AL396" s="132"/>
      <c r="AM396" s="133"/>
      <c r="AN396" s="246">
        <v>44841</v>
      </c>
      <c r="AO396" s="137"/>
      <c r="AP396" s="97"/>
      <c r="AQ396" s="97"/>
      <c r="AR396" s="97"/>
      <c r="AS396" s="97"/>
      <c r="AT396" s="97"/>
      <c r="AU396" s="97"/>
      <c r="AV396" s="97"/>
      <c r="AW396" s="97"/>
      <c r="AX396" s="97"/>
      <c r="AY396" s="97"/>
      <c r="AZ396" s="97"/>
      <c r="BA396" s="97"/>
      <c r="BB396" s="97"/>
      <c r="BC396" s="97"/>
      <c r="BD396" s="97"/>
      <c r="BE396" s="97"/>
    </row>
    <row r="397" s="115" customFormat="1" customHeight="1" spans="1:57">
      <c r="A397" s="115" t="s">
        <v>5024</v>
      </c>
      <c r="B397" s="111" t="s">
        <v>5025</v>
      </c>
      <c r="C397" s="111" t="s">
        <v>5026</v>
      </c>
      <c r="D397" s="121" t="s">
        <v>5027</v>
      </c>
      <c r="E397" s="266">
        <v>15093323371</v>
      </c>
      <c r="F397" s="267">
        <v>3</v>
      </c>
      <c r="G397" s="268">
        <v>3143</v>
      </c>
      <c r="H397" s="268">
        <v>20.97</v>
      </c>
      <c r="I397" s="274" t="s">
        <v>2657</v>
      </c>
      <c r="J397" s="113" t="s">
        <v>5028</v>
      </c>
      <c r="K397" s="266">
        <v>14.49</v>
      </c>
      <c r="L397" s="266" t="s">
        <v>3326</v>
      </c>
      <c r="M397" s="275" t="s">
        <v>4541</v>
      </c>
      <c r="N397" s="113" t="s">
        <v>66</v>
      </c>
      <c r="O397" s="113"/>
      <c r="P397" s="113"/>
      <c r="Q397" s="113">
        <v>31776.6</v>
      </c>
      <c r="R397" s="113">
        <v>460443</v>
      </c>
      <c r="S397" s="280">
        <v>230443</v>
      </c>
      <c r="T397" s="281">
        <f t="shared" si="132"/>
        <v>230000</v>
      </c>
      <c r="U397" s="280"/>
      <c r="V397" s="280"/>
      <c r="W397" s="280"/>
      <c r="X397" s="280"/>
      <c r="Y397" s="113"/>
      <c r="Z397" s="113"/>
      <c r="AA397" s="275" t="s">
        <v>5029</v>
      </c>
      <c r="AB397" s="113"/>
      <c r="AC397" s="113"/>
      <c r="AD397" s="113"/>
      <c r="AE397" s="133"/>
      <c r="AG397" s="133"/>
      <c r="AH397" s="133"/>
      <c r="AI397" s="132">
        <f t="shared" ref="AI397:AI405" si="133">S397+U397+V397+W397+X397+AC397+AD397+AE397</f>
        <v>230443</v>
      </c>
      <c r="AJ397" s="132">
        <f t="shared" ref="AJ397:AJ405" si="134">S397+U397+V397+W397+X397</f>
        <v>230443</v>
      </c>
      <c r="AK397" s="133">
        <f t="shared" ref="AK397:AK405" si="135">AI397-AJ397</f>
        <v>0</v>
      </c>
      <c r="AL397" s="132"/>
      <c r="AM397" s="133"/>
      <c r="AN397" s="246">
        <v>44841</v>
      </c>
      <c r="AO397" s="137"/>
      <c r="AP397" s="97"/>
      <c r="AQ397" s="97"/>
      <c r="AR397" s="97"/>
      <c r="AS397" s="97"/>
      <c r="AT397" s="97"/>
      <c r="AU397" s="97"/>
      <c r="AV397" s="97"/>
      <c r="AW397" s="97"/>
      <c r="AX397" s="97"/>
      <c r="AY397" s="97"/>
      <c r="AZ397" s="97"/>
      <c r="BA397" s="97"/>
      <c r="BB397" s="97"/>
      <c r="BC397" s="97"/>
      <c r="BD397" s="97"/>
      <c r="BE397" s="97"/>
    </row>
    <row r="398" s="115" customFormat="1" customHeight="1" spans="1:57">
      <c r="A398" s="115" t="s">
        <v>5030</v>
      </c>
      <c r="B398" s="111" t="s">
        <v>5031</v>
      </c>
      <c r="C398" s="554" t="s">
        <v>5032</v>
      </c>
      <c r="D398" s="121" t="s">
        <v>5033</v>
      </c>
      <c r="E398" s="266">
        <v>13613808952</v>
      </c>
      <c r="F398" s="267">
        <v>4</v>
      </c>
      <c r="G398" s="268">
        <v>4256</v>
      </c>
      <c r="H398" s="268">
        <v>14.72</v>
      </c>
      <c r="I398" s="274" t="s">
        <v>2657</v>
      </c>
      <c r="J398" s="113" t="s">
        <v>5034</v>
      </c>
      <c r="K398" s="266">
        <v>13.45</v>
      </c>
      <c r="L398" s="266" t="s">
        <v>3355</v>
      </c>
      <c r="M398" s="275" t="s">
        <v>3733</v>
      </c>
      <c r="N398" s="113" t="s">
        <v>56</v>
      </c>
      <c r="O398" s="113"/>
      <c r="P398" s="113"/>
      <c r="Q398" s="113">
        <v>25748.55</v>
      </c>
      <c r="R398" s="113">
        <v>346318</v>
      </c>
      <c r="S398" s="280">
        <v>346318</v>
      </c>
      <c r="T398" s="281">
        <f t="shared" si="132"/>
        <v>0</v>
      </c>
      <c r="U398" s="280"/>
      <c r="V398" s="280"/>
      <c r="W398" s="280"/>
      <c r="X398" s="280"/>
      <c r="Y398" s="113"/>
      <c r="Z398" s="113"/>
      <c r="AA398" s="275"/>
      <c r="AB398" s="113"/>
      <c r="AC398" s="113"/>
      <c r="AD398" s="113"/>
      <c r="AE398" s="133"/>
      <c r="AG398" s="133"/>
      <c r="AH398" s="133"/>
      <c r="AI398" s="132">
        <f t="shared" si="133"/>
        <v>346318</v>
      </c>
      <c r="AJ398" s="132">
        <f t="shared" si="134"/>
        <v>346318</v>
      </c>
      <c r="AK398" s="133">
        <f t="shared" si="135"/>
        <v>0</v>
      </c>
      <c r="AL398" s="132"/>
      <c r="AM398" s="133"/>
      <c r="AN398" s="246">
        <v>44841</v>
      </c>
      <c r="AO398" s="137"/>
      <c r="AP398" s="97"/>
      <c r="AQ398" s="97"/>
      <c r="AR398" s="97"/>
      <c r="AS398" s="97"/>
      <c r="AT398" s="97"/>
      <c r="AU398" s="97"/>
      <c r="AV398" s="97"/>
      <c r="AW398" s="97"/>
      <c r="AX398" s="97"/>
      <c r="AY398" s="97"/>
      <c r="AZ398" s="97"/>
      <c r="BA398" s="97"/>
      <c r="BB398" s="97"/>
      <c r="BC398" s="97"/>
      <c r="BD398" s="97"/>
      <c r="BE398" s="97"/>
    </row>
    <row r="399" s="115" customFormat="1" customHeight="1" spans="1:57">
      <c r="A399" s="115" t="s">
        <v>5035</v>
      </c>
      <c r="B399" s="111" t="s">
        <v>5036</v>
      </c>
      <c r="C399" s="554" t="s">
        <v>5037</v>
      </c>
      <c r="D399" s="121" t="s">
        <v>5038</v>
      </c>
      <c r="E399" s="266">
        <v>17337177567</v>
      </c>
      <c r="F399" s="267">
        <v>4</v>
      </c>
      <c r="G399" s="268">
        <v>4297</v>
      </c>
      <c r="H399" s="268">
        <v>14.58</v>
      </c>
      <c r="I399" s="274" t="s">
        <v>2657</v>
      </c>
      <c r="J399" s="113" t="s">
        <v>5039</v>
      </c>
      <c r="K399" s="266">
        <v>14.14</v>
      </c>
      <c r="L399" s="266" t="s">
        <v>3577</v>
      </c>
      <c r="M399" s="275" t="s">
        <v>3740</v>
      </c>
      <c r="N399" s="113" t="s">
        <v>66</v>
      </c>
      <c r="O399" s="113"/>
      <c r="P399" s="113"/>
      <c r="Q399" s="113">
        <v>26297.88</v>
      </c>
      <c r="R399" s="113">
        <v>371852</v>
      </c>
      <c r="S399" s="280">
        <v>191852</v>
      </c>
      <c r="T399" s="281">
        <f t="shared" si="132"/>
        <v>180000</v>
      </c>
      <c r="U399" s="280"/>
      <c r="V399" s="280"/>
      <c r="W399" s="280"/>
      <c r="X399" s="280"/>
      <c r="Y399" s="113"/>
      <c r="Z399" s="113"/>
      <c r="AA399" s="275"/>
      <c r="AB399" s="113" t="s">
        <v>5040</v>
      </c>
      <c r="AC399" s="113"/>
      <c r="AD399" s="113"/>
      <c r="AE399" s="133"/>
      <c r="AG399" s="133"/>
      <c r="AH399" s="133"/>
      <c r="AI399" s="132">
        <f t="shared" si="133"/>
        <v>191852</v>
      </c>
      <c r="AJ399" s="132">
        <f t="shared" si="134"/>
        <v>191852</v>
      </c>
      <c r="AK399" s="133">
        <f t="shared" si="135"/>
        <v>0</v>
      </c>
      <c r="AL399" s="132"/>
      <c r="AM399" s="133"/>
      <c r="AN399" s="246">
        <v>44841</v>
      </c>
      <c r="AO399" s="137"/>
      <c r="AP399" s="97"/>
      <c r="AQ399" s="97"/>
      <c r="AR399" s="97"/>
      <c r="AS399" s="97"/>
      <c r="AT399" s="97"/>
      <c r="AU399" s="97"/>
      <c r="AV399" s="97"/>
      <c r="AW399" s="97"/>
      <c r="AX399" s="97"/>
      <c r="AY399" s="97"/>
      <c r="AZ399" s="97"/>
      <c r="BA399" s="97"/>
      <c r="BB399" s="97"/>
      <c r="BC399" s="97"/>
      <c r="BD399" s="97"/>
      <c r="BE399" s="97"/>
    </row>
    <row r="400" s="115" customFormat="1" customHeight="1" spans="1:57">
      <c r="A400" s="115" t="s">
        <v>5041</v>
      </c>
      <c r="B400" s="111" t="s">
        <v>5042</v>
      </c>
      <c r="C400" s="554" t="s">
        <v>5043</v>
      </c>
      <c r="D400" s="121" t="s">
        <v>5038</v>
      </c>
      <c r="E400" s="266">
        <v>15093316369</v>
      </c>
      <c r="F400" s="267">
        <v>4</v>
      </c>
      <c r="G400" s="268">
        <v>4296</v>
      </c>
      <c r="H400" s="268">
        <v>14.58</v>
      </c>
      <c r="I400" s="274" t="s">
        <v>2657</v>
      </c>
      <c r="J400" s="113" t="s">
        <v>5044</v>
      </c>
      <c r="K400" s="266">
        <v>14.14</v>
      </c>
      <c r="L400" s="266" t="s">
        <v>3577</v>
      </c>
      <c r="M400" s="275" t="s">
        <v>3740</v>
      </c>
      <c r="N400" s="113" t="s">
        <v>66</v>
      </c>
      <c r="O400" s="113"/>
      <c r="P400" s="113"/>
      <c r="Q400" s="113">
        <v>26297.88</v>
      </c>
      <c r="R400" s="113">
        <v>371852</v>
      </c>
      <c r="S400" s="280">
        <v>191852</v>
      </c>
      <c r="T400" s="281">
        <f t="shared" si="132"/>
        <v>180000</v>
      </c>
      <c r="U400" s="280"/>
      <c r="V400" s="280"/>
      <c r="W400" s="280"/>
      <c r="X400" s="280"/>
      <c r="Y400" s="113"/>
      <c r="Z400" s="113"/>
      <c r="AA400" s="275"/>
      <c r="AB400" s="113" t="s">
        <v>5045</v>
      </c>
      <c r="AC400" s="113"/>
      <c r="AD400" s="113"/>
      <c r="AE400" s="133"/>
      <c r="AG400" s="133"/>
      <c r="AH400" s="133"/>
      <c r="AI400" s="132">
        <f t="shared" si="133"/>
        <v>191852</v>
      </c>
      <c r="AJ400" s="132">
        <f t="shared" si="134"/>
        <v>191852</v>
      </c>
      <c r="AK400" s="133">
        <f t="shared" si="135"/>
        <v>0</v>
      </c>
      <c r="AL400" s="132"/>
      <c r="AM400" s="133"/>
      <c r="AN400" s="246">
        <v>44841</v>
      </c>
      <c r="AO400" s="137"/>
      <c r="AP400" s="97"/>
      <c r="AQ400" s="97"/>
      <c r="AR400" s="97"/>
      <c r="AS400" s="97"/>
      <c r="AT400" s="97"/>
      <c r="AU400" s="97"/>
      <c r="AV400" s="97"/>
      <c r="AW400" s="97"/>
      <c r="AX400" s="97"/>
      <c r="AY400" s="97"/>
      <c r="AZ400" s="97"/>
      <c r="BA400" s="97"/>
      <c r="BB400" s="97"/>
      <c r="BC400" s="97"/>
      <c r="BD400" s="97"/>
      <c r="BE400" s="97"/>
    </row>
    <row r="401" s="115" customFormat="1" customHeight="1" spans="1:57">
      <c r="A401" s="115" t="s">
        <v>5046</v>
      </c>
      <c r="B401" s="111" t="s">
        <v>5047</v>
      </c>
      <c r="C401" s="111" t="s">
        <v>5048</v>
      </c>
      <c r="D401" s="121" t="s">
        <v>5049</v>
      </c>
      <c r="E401" s="266" t="s">
        <v>5050</v>
      </c>
      <c r="F401" s="267">
        <v>3</v>
      </c>
      <c r="G401" s="268">
        <v>3317</v>
      </c>
      <c r="H401" s="268">
        <v>13.39</v>
      </c>
      <c r="I401" s="274" t="s">
        <v>2657</v>
      </c>
      <c r="J401" s="113" t="s">
        <v>5051</v>
      </c>
      <c r="K401" s="266">
        <v>14.84</v>
      </c>
      <c r="L401" s="266" t="s">
        <v>3016</v>
      </c>
      <c r="M401" s="275" t="s">
        <v>3332</v>
      </c>
      <c r="N401" s="113" t="s">
        <v>66</v>
      </c>
      <c r="O401" s="113"/>
      <c r="P401" s="113"/>
      <c r="Q401" s="113">
        <v>32085.11</v>
      </c>
      <c r="R401" s="113">
        <v>429620</v>
      </c>
      <c r="S401" s="280">
        <v>249620</v>
      </c>
      <c r="T401" s="281" t="s">
        <v>47</v>
      </c>
      <c r="U401" s="280">
        <v>180000</v>
      </c>
      <c r="V401" s="280">
        <v>870</v>
      </c>
      <c r="W401" s="280">
        <v>560</v>
      </c>
      <c r="X401" s="280"/>
      <c r="Y401" s="113" t="s">
        <v>2669</v>
      </c>
      <c r="Z401" s="113" t="s">
        <v>48</v>
      </c>
      <c r="AA401" s="275">
        <v>44072</v>
      </c>
      <c r="AB401" s="113"/>
      <c r="AC401" s="113">
        <v>1238</v>
      </c>
      <c r="AD401" s="113"/>
      <c r="AE401" s="133"/>
      <c r="AG401" s="133"/>
      <c r="AH401" s="133"/>
      <c r="AI401" s="132">
        <f t="shared" si="133"/>
        <v>432288</v>
      </c>
      <c r="AJ401" s="132">
        <f t="shared" si="134"/>
        <v>431050</v>
      </c>
      <c r="AK401" s="133">
        <f t="shared" si="135"/>
        <v>1238</v>
      </c>
      <c r="AL401" s="132"/>
      <c r="AM401" s="133"/>
      <c r="AN401" s="246">
        <v>44841</v>
      </c>
      <c r="AO401" s="137"/>
      <c r="AP401" s="97"/>
      <c r="AQ401" s="97"/>
      <c r="AR401" s="97"/>
      <c r="AS401" s="97"/>
      <c r="AT401" s="97"/>
      <c r="AU401" s="97"/>
      <c r="AV401" s="97"/>
      <c r="AW401" s="97"/>
      <c r="AX401" s="97"/>
      <c r="AY401" s="97"/>
      <c r="AZ401" s="97"/>
      <c r="BA401" s="97"/>
      <c r="BB401" s="97"/>
      <c r="BC401" s="97"/>
      <c r="BD401" s="97"/>
      <c r="BE401" s="97"/>
    </row>
    <row r="402" s="115" customFormat="1" customHeight="1" spans="1:57">
      <c r="A402" s="115" t="s">
        <v>5052</v>
      </c>
      <c r="B402" s="111" t="s">
        <v>5053</v>
      </c>
      <c r="C402" s="554" t="s">
        <v>5054</v>
      </c>
      <c r="D402" s="121" t="s">
        <v>5055</v>
      </c>
      <c r="E402" s="266">
        <v>13703877703</v>
      </c>
      <c r="F402" s="267">
        <v>4</v>
      </c>
      <c r="G402" s="268">
        <v>4145</v>
      </c>
      <c r="H402" s="268">
        <v>54.64</v>
      </c>
      <c r="I402" s="274" t="s">
        <v>2665</v>
      </c>
      <c r="J402" s="113" t="s">
        <v>5056</v>
      </c>
      <c r="K402" s="266">
        <v>67.3</v>
      </c>
      <c r="L402" s="266" t="s">
        <v>5057</v>
      </c>
      <c r="M402" s="275" t="s">
        <v>5058</v>
      </c>
      <c r="N402" s="113" t="s">
        <v>66</v>
      </c>
      <c r="O402" s="113"/>
      <c r="P402" s="113"/>
      <c r="Q402" s="113">
        <v>20000</v>
      </c>
      <c r="R402" s="113">
        <v>1346000</v>
      </c>
      <c r="S402" s="280">
        <v>840000</v>
      </c>
      <c r="T402" s="281">
        <f>R402-S402</f>
        <v>506000</v>
      </c>
      <c r="U402" s="280"/>
      <c r="V402" s="280"/>
      <c r="W402" s="280"/>
      <c r="X402" s="280"/>
      <c r="Y402" s="113"/>
      <c r="Z402" s="113"/>
      <c r="AA402" s="275"/>
      <c r="AB402" s="113"/>
      <c r="AC402" s="113"/>
      <c r="AD402" s="113"/>
      <c r="AE402" s="133"/>
      <c r="AG402" s="133"/>
      <c r="AH402" s="133"/>
      <c r="AI402" s="132">
        <f t="shared" si="133"/>
        <v>840000</v>
      </c>
      <c r="AJ402" s="132">
        <f t="shared" si="134"/>
        <v>840000</v>
      </c>
      <c r="AK402" s="133">
        <f t="shared" si="135"/>
        <v>0</v>
      </c>
      <c r="AL402" s="132"/>
      <c r="AM402" s="133"/>
      <c r="AN402" s="246">
        <v>44841</v>
      </c>
      <c r="AO402" s="137"/>
      <c r="AP402" s="97"/>
      <c r="AQ402" s="97"/>
      <c r="AR402" s="97"/>
      <c r="AS402" s="97"/>
      <c r="AT402" s="97"/>
      <c r="AU402" s="97"/>
      <c r="AV402" s="97"/>
      <c r="AW402" s="97"/>
      <c r="AX402" s="97"/>
      <c r="AY402" s="97"/>
      <c r="AZ402" s="97"/>
      <c r="BA402" s="97"/>
      <c r="BB402" s="97"/>
      <c r="BC402" s="97"/>
      <c r="BD402" s="97"/>
      <c r="BE402" s="97"/>
    </row>
    <row r="403" s="115" customFormat="1" customHeight="1" spans="1:57">
      <c r="A403" s="115" t="s">
        <v>5059</v>
      </c>
      <c r="B403" s="111" t="s">
        <v>5060</v>
      </c>
      <c r="C403" s="111" t="s">
        <v>5061</v>
      </c>
      <c r="D403" s="121" t="s">
        <v>5062</v>
      </c>
      <c r="E403" s="266">
        <v>13526826697</v>
      </c>
      <c r="F403" s="267">
        <v>3</v>
      </c>
      <c r="G403" s="268">
        <v>3782</v>
      </c>
      <c r="H403" s="268">
        <v>15.99</v>
      </c>
      <c r="I403" s="274" t="s">
        <v>2657</v>
      </c>
      <c r="J403" s="113" t="s">
        <v>5063</v>
      </c>
      <c r="K403" s="266">
        <v>15.41</v>
      </c>
      <c r="L403" s="266" t="s">
        <v>3356</v>
      </c>
      <c r="M403" s="275" t="s">
        <v>5064</v>
      </c>
      <c r="N403" s="113" t="s">
        <v>56</v>
      </c>
      <c r="O403" s="113"/>
      <c r="P403" s="113"/>
      <c r="Q403" s="113">
        <v>31499.09</v>
      </c>
      <c r="R403" s="113">
        <v>503670</v>
      </c>
      <c r="S403" s="280">
        <v>503670</v>
      </c>
      <c r="T403" s="281">
        <f>R403-S403</f>
        <v>0</v>
      </c>
      <c r="U403" s="280"/>
      <c r="V403" s="280">
        <v>1039</v>
      </c>
      <c r="W403" s="280">
        <v>550</v>
      </c>
      <c r="X403" s="280"/>
      <c r="Y403" s="113" t="s">
        <v>2669</v>
      </c>
      <c r="Z403" s="113" t="s">
        <v>48</v>
      </c>
      <c r="AA403" s="275">
        <v>44052</v>
      </c>
      <c r="AB403" s="113"/>
      <c r="AC403" s="113"/>
      <c r="AD403" s="113"/>
      <c r="AE403" s="133"/>
      <c r="AG403" s="133"/>
      <c r="AH403" s="133"/>
      <c r="AI403" s="132">
        <f t="shared" si="133"/>
        <v>505259</v>
      </c>
      <c r="AJ403" s="132">
        <f t="shared" si="134"/>
        <v>505259</v>
      </c>
      <c r="AK403" s="133">
        <f t="shared" si="135"/>
        <v>0</v>
      </c>
      <c r="AL403" s="132"/>
      <c r="AM403" s="133"/>
      <c r="AN403" s="246">
        <v>44841</v>
      </c>
      <c r="AO403" s="137"/>
      <c r="AP403" s="97"/>
      <c r="AQ403" s="97"/>
      <c r="AR403" s="97"/>
      <c r="AS403" s="97"/>
      <c r="AT403" s="97"/>
      <c r="AU403" s="97"/>
      <c r="AV403" s="97"/>
      <c r="AW403" s="97"/>
      <c r="AX403" s="97"/>
      <c r="AY403" s="97"/>
      <c r="AZ403" s="97"/>
      <c r="BA403" s="97"/>
      <c r="BB403" s="97"/>
      <c r="BC403" s="97"/>
      <c r="BD403" s="97"/>
      <c r="BE403" s="97"/>
    </row>
    <row r="404" s="115" customFormat="1" customHeight="1" spans="1:57">
      <c r="A404" s="115" t="s">
        <v>5065</v>
      </c>
      <c r="B404" s="111" t="s">
        <v>5066</v>
      </c>
      <c r="C404" s="554" t="s">
        <v>5067</v>
      </c>
      <c r="D404" s="121" t="s">
        <v>5068</v>
      </c>
      <c r="E404" s="266">
        <v>18703993638</v>
      </c>
      <c r="F404" s="267">
        <v>4</v>
      </c>
      <c r="G404" s="268" t="s">
        <v>5069</v>
      </c>
      <c r="H404" s="268">
        <v>14.06</v>
      </c>
      <c r="I404" s="274" t="s">
        <v>2657</v>
      </c>
      <c r="J404" s="113" t="s">
        <v>5070</v>
      </c>
      <c r="K404" s="266">
        <v>13.56</v>
      </c>
      <c r="L404" s="266" t="s">
        <v>3976</v>
      </c>
      <c r="M404" s="275" t="s">
        <v>5071</v>
      </c>
      <c r="N404" s="113" t="s">
        <v>66</v>
      </c>
      <c r="O404" s="113"/>
      <c r="P404" s="113"/>
      <c r="Q404" s="113">
        <v>27355.31</v>
      </c>
      <c r="R404" s="113">
        <v>384616</v>
      </c>
      <c r="S404" s="280">
        <v>194616</v>
      </c>
      <c r="T404" s="281">
        <f>R404-S404</f>
        <v>190000</v>
      </c>
      <c r="U404" s="280"/>
      <c r="V404" s="280">
        <v>913</v>
      </c>
      <c r="W404" s="280">
        <v>550</v>
      </c>
      <c r="X404" s="280"/>
      <c r="Y404" s="113"/>
      <c r="Z404" s="113"/>
      <c r="AA404" s="275"/>
      <c r="AB404" s="113" t="s">
        <v>5072</v>
      </c>
      <c r="AC404" s="113"/>
      <c r="AD404" s="113"/>
      <c r="AE404" s="133"/>
      <c r="AG404" s="133"/>
      <c r="AH404" s="133"/>
      <c r="AI404" s="132">
        <f t="shared" si="133"/>
        <v>196079</v>
      </c>
      <c r="AJ404" s="132">
        <f t="shared" si="134"/>
        <v>196079</v>
      </c>
      <c r="AK404" s="133">
        <f t="shared" si="135"/>
        <v>0</v>
      </c>
      <c r="AL404" s="132"/>
      <c r="AM404" s="133"/>
      <c r="AN404" s="246">
        <v>44841</v>
      </c>
      <c r="AO404" s="137"/>
      <c r="AP404" s="97"/>
      <c r="AQ404" s="97"/>
      <c r="AR404" s="97"/>
      <c r="AS404" s="97"/>
      <c r="AT404" s="97"/>
      <c r="AU404" s="97"/>
      <c r="AV404" s="97"/>
      <c r="AW404" s="97"/>
      <c r="AX404" s="97"/>
      <c r="AY404" s="97"/>
      <c r="AZ404" s="97"/>
      <c r="BA404" s="97"/>
      <c r="BB404" s="97"/>
      <c r="BC404" s="97"/>
      <c r="BD404" s="97"/>
      <c r="BE404" s="97"/>
    </row>
    <row r="405" s="115" customFormat="1" customHeight="1" spans="1:57">
      <c r="A405" s="115" t="s">
        <v>5073</v>
      </c>
      <c r="B405" s="111" t="s">
        <v>5074</v>
      </c>
      <c r="C405" s="111" t="s">
        <v>5075</v>
      </c>
      <c r="D405" s="121" t="s">
        <v>5076</v>
      </c>
      <c r="E405" s="266" t="s">
        <v>5077</v>
      </c>
      <c r="F405" s="267">
        <v>4</v>
      </c>
      <c r="G405" s="268">
        <v>4172</v>
      </c>
      <c r="H405" s="268">
        <v>35.44</v>
      </c>
      <c r="I405" s="274" t="s">
        <v>2665</v>
      </c>
      <c r="J405" s="113" t="s">
        <v>5078</v>
      </c>
      <c r="K405" s="266">
        <v>37.33</v>
      </c>
      <c r="L405" s="266" t="s">
        <v>5079</v>
      </c>
      <c r="M405" s="275" t="s">
        <v>3017</v>
      </c>
      <c r="N405" s="113" t="s">
        <v>66</v>
      </c>
      <c r="O405" s="113"/>
      <c r="P405" s="113"/>
      <c r="Q405" s="113">
        <v>22209.05</v>
      </c>
      <c r="R405" s="113">
        <v>787089</v>
      </c>
      <c r="S405" s="280">
        <v>427089</v>
      </c>
      <c r="T405" s="281" t="s">
        <v>47</v>
      </c>
      <c r="U405" s="280">
        <v>360000</v>
      </c>
      <c r="V405" s="280">
        <v>2303</v>
      </c>
      <c r="W405" s="280">
        <v>550</v>
      </c>
      <c r="X405" s="280"/>
      <c r="Y405" s="113" t="s">
        <v>2669</v>
      </c>
      <c r="Z405" s="113" t="s">
        <v>48</v>
      </c>
      <c r="AA405" s="275">
        <v>44069</v>
      </c>
      <c r="AB405" s="113"/>
      <c r="AC405" s="113">
        <f>1000+220+36</f>
        <v>1256</v>
      </c>
      <c r="AD405" s="113"/>
      <c r="AE405" s="133"/>
      <c r="AG405" s="133"/>
      <c r="AH405" s="133"/>
      <c r="AI405" s="132">
        <f t="shared" si="133"/>
        <v>791198</v>
      </c>
      <c r="AJ405" s="132">
        <f t="shared" si="134"/>
        <v>789942</v>
      </c>
      <c r="AK405" s="133">
        <f t="shared" si="135"/>
        <v>1256</v>
      </c>
      <c r="AL405" s="132"/>
      <c r="AM405" s="133"/>
      <c r="AN405" s="246">
        <v>44841</v>
      </c>
      <c r="AO405" s="137"/>
      <c r="AP405" s="97"/>
      <c r="AQ405" s="97"/>
      <c r="AR405" s="97"/>
      <c r="AS405" s="97"/>
      <c r="AT405" s="97"/>
      <c r="AU405" s="97"/>
      <c r="AV405" s="97"/>
      <c r="AW405" s="97"/>
      <c r="AX405" s="97"/>
      <c r="AY405" s="97"/>
      <c r="AZ405" s="97"/>
      <c r="BA405" s="97"/>
      <c r="BB405" s="97"/>
      <c r="BC405" s="97"/>
      <c r="BD405" s="97"/>
      <c r="BE405" s="97"/>
    </row>
    <row r="406" s="115" customFormat="1" customHeight="1" spans="1:57">
      <c r="A406" s="115" t="s">
        <v>5080</v>
      </c>
      <c r="B406" s="111" t="s">
        <v>5081</v>
      </c>
      <c r="C406" s="111" t="s">
        <v>5082</v>
      </c>
      <c r="D406" s="121" t="s">
        <v>5083</v>
      </c>
      <c r="E406" s="266">
        <v>13720377527</v>
      </c>
      <c r="F406" s="267">
        <v>2</v>
      </c>
      <c r="G406" s="268">
        <v>244</v>
      </c>
      <c r="H406" s="268">
        <v>27.2</v>
      </c>
      <c r="I406" s="274" t="s">
        <v>2665</v>
      </c>
      <c r="J406" s="113" t="s">
        <v>5084</v>
      </c>
      <c r="K406" s="266">
        <v>26.1</v>
      </c>
      <c r="L406" s="266" t="s">
        <v>2711</v>
      </c>
      <c r="M406" s="275" t="s">
        <v>2799</v>
      </c>
      <c r="N406" s="113" t="s">
        <v>66</v>
      </c>
      <c r="O406" s="113"/>
      <c r="P406" s="113"/>
      <c r="Q406" s="113">
        <v>29675.8620689655</v>
      </c>
      <c r="R406" s="113">
        <v>774540</v>
      </c>
      <c r="S406" s="280">
        <v>424540</v>
      </c>
      <c r="T406" s="281">
        <f t="shared" ref="T406:T433" si="136">R406-S406</f>
        <v>350000</v>
      </c>
      <c r="U406" s="280"/>
      <c r="V406" s="280"/>
      <c r="W406" s="280"/>
      <c r="X406" s="280"/>
      <c r="Y406" s="113"/>
      <c r="Z406" s="113"/>
      <c r="AA406" s="275"/>
      <c r="AB406" s="113"/>
      <c r="AC406" s="113"/>
      <c r="AD406" s="113"/>
      <c r="AE406" s="133"/>
      <c r="AG406" s="133"/>
      <c r="AH406" s="133"/>
      <c r="AI406" s="132">
        <f t="shared" ref="AI406:AI418" si="137">S406+U406+V406+W406+X406+AC406+AD406+AE406</f>
        <v>424540</v>
      </c>
      <c r="AJ406" s="132">
        <f t="shared" ref="AJ406:AJ418" si="138">S406+U406+V406+W406+X406</f>
        <v>424540</v>
      </c>
      <c r="AK406" s="133">
        <f t="shared" ref="AK406:AK418" si="139">AI406-AJ406</f>
        <v>0</v>
      </c>
      <c r="AL406" s="132"/>
      <c r="AM406" s="133"/>
      <c r="AN406" s="246">
        <v>44841</v>
      </c>
      <c r="AO406" s="137"/>
      <c r="AP406" s="97"/>
      <c r="AQ406" s="97"/>
      <c r="AR406" s="97"/>
      <c r="AS406" s="97"/>
      <c r="AT406" s="97"/>
      <c r="AU406" s="97"/>
      <c r="AV406" s="97"/>
      <c r="AW406" s="97"/>
      <c r="AX406" s="97"/>
      <c r="AY406" s="97"/>
      <c r="AZ406" s="97"/>
      <c r="BA406" s="97"/>
      <c r="BB406" s="97"/>
      <c r="BC406" s="97"/>
      <c r="BD406" s="97"/>
      <c r="BE406" s="97"/>
    </row>
    <row r="407" s="115" customFormat="1" customHeight="1" spans="1:57">
      <c r="A407" s="115" t="s">
        <v>5085</v>
      </c>
      <c r="B407" s="111" t="s">
        <v>5086</v>
      </c>
      <c r="C407" s="554" t="s">
        <v>5087</v>
      </c>
      <c r="D407" s="121" t="s">
        <v>5088</v>
      </c>
      <c r="E407" s="266" t="s">
        <v>5089</v>
      </c>
      <c r="F407" s="267">
        <v>4</v>
      </c>
      <c r="G407" s="268">
        <v>497</v>
      </c>
      <c r="H407" s="268">
        <v>13.79</v>
      </c>
      <c r="I407" s="274" t="s">
        <v>2657</v>
      </c>
      <c r="J407" s="113" t="s">
        <v>5090</v>
      </c>
      <c r="K407" s="266">
        <v>13.39</v>
      </c>
      <c r="L407" s="266" t="s">
        <v>2705</v>
      </c>
      <c r="M407" s="275" t="s">
        <v>5091</v>
      </c>
      <c r="N407" s="113" t="s">
        <v>66</v>
      </c>
      <c r="O407" s="113"/>
      <c r="P407" s="113"/>
      <c r="Q407" s="113">
        <v>26287.68</v>
      </c>
      <c r="R407" s="113">
        <v>362507</v>
      </c>
      <c r="S407" s="280">
        <v>182507</v>
      </c>
      <c r="T407" s="281">
        <f t="shared" si="136"/>
        <v>180000</v>
      </c>
      <c r="U407" s="280"/>
      <c r="V407" s="280">
        <v>896</v>
      </c>
      <c r="W407" s="280">
        <v>550</v>
      </c>
      <c r="X407" s="280"/>
      <c r="Y407" s="113"/>
      <c r="Z407" s="113"/>
      <c r="AA407" s="275"/>
      <c r="AB407" s="113"/>
      <c r="AC407" s="113"/>
      <c r="AD407" s="113"/>
      <c r="AE407" s="133"/>
      <c r="AG407" s="133"/>
      <c r="AH407" s="133"/>
      <c r="AI407" s="132">
        <f t="shared" si="137"/>
        <v>183953</v>
      </c>
      <c r="AJ407" s="132">
        <f t="shared" si="138"/>
        <v>183953</v>
      </c>
      <c r="AK407" s="133">
        <f t="shared" si="139"/>
        <v>0</v>
      </c>
      <c r="AL407" s="132"/>
      <c r="AM407" s="133"/>
      <c r="AN407" s="246">
        <v>44841</v>
      </c>
      <c r="AO407" s="137"/>
      <c r="AP407" s="97"/>
      <c r="AQ407" s="97"/>
      <c r="AR407" s="97"/>
      <c r="AS407" s="97"/>
      <c r="AT407" s="97"/>
      <c r="AU407" s="97"/>
      <c r="AV407" s="97"/>
      <c r="AW407" s="97"/>
      <c r="AX407" s="97"/>
      <c r="AY407" s="97"/>
      <c r="AZ407" s="97"/>
      <c r="BA407" s="97"/>
      <c r="BB407" s="97"/>
      <c r="BC407" s="97"/>
      <c r="BD407" s="97"/>
      <c r="BE407" s="97"/>
    </row>
    <row r="408" s="115" customFormat="1" customHeight="1" spans="1:57">
      <c r="A408" s="115" t="s">
        <v>5092</v>
      </c>
      <c r="B408" s="111" t="s">
        <v>5093</v>
      </c>
      <c r="C408" s="111" t="s">
        <v>5094</v>
      </c>
      <c r="D408" s="121" t="s">
        <v>5095</v>
      </c>
      <c r="E408" s="266">
        <v>13938255623</v>
      </c>
      <c r="F408" s="267">
        <v>3</v>
      </c>
      <c r="G408" s="268">
        <v>3330</v>
      </c>
      <c r="H408" s="268">
        <v>21.27</v>
      </c>
      <c r="I408" s="274" t="s">
        <v>2657</v>
      </c>
      <c r="J408" s="113" t="s">
        <v>5096</v>
      </c>
      <c r="K408" s="266">
        <v>19.66</v>
      </c>
      <c r="L408" s="266" t="s">
        <v>5097</v>
      </c>
      <c r="M408" s="275" t="s">
        <v>5098</v>
      </c>
      <c r="N408" s="113" t="s">
        <v>56</v>
      </c>
      <c r="O408" s="113"/>
      <c r="P408" s="113"/>
      <c r="Q408" s="113">
        <v>31108.24</v>
      </c>
      <c r="R408" s="113">
        <v>611588</v>
      </c>
      <c r="S408" s="280">
        <v>611588</v>
      </c>
      <c r="T408" s="281">
        <f t="shared" si="136"/>
        <v>0</v>
      </c>
      <c r="U408" s="280"/>
      <c r="V408" s="280"/>
      <c r="W408" s="280"/>
      <c r="X408" s="280"/>
      <c r="Y408" s="113"/>
      <c r="Z408" s="113"/>
      <c r="AA408" s="275"/>
      <c r="AB408" s="113"/>
      <c r="AC408" s="113"/>
      <c r="AD408" s="113"/>
      <c r="AE408" s="133"/>
      <c r="AG408" s="133"/>
      <c r="AH408" s="133"/>
      <c r="AI408" s="132">
        <f t="shared" si="137"/>
        <v>611588</v>
      </c>
      <c r="AJ408" s="132">
        <f t="shared" si="138"/>
        <v>611588</v>
      </c>
      <c r="AK408" s="133">
        <f t="shared" si="139"/>
        <v>0</v>
      </c>
      <c r="AL408" s="132"/>
      <c r="AM408" s="133"/>
      <c r="AN408" s="246">
        <v>44841</v>
      </c>
      <c r="AO408" s="137"/>
      <c r="AP408" s="97"/>
      <c r="AQ408" s="97"/>
      <c r="AR408" s="97"/>
      <c r="AS408" s="97"/>
      <c r="AT408" s="97"/>
      <c r="AU408" s="97"/>
      <c r="AV408" s="97"/>
      <c r="AW408" s="97"/>
      <c r="AX408" s="97"/>
      <c r="AY408" s="97"/>
      <c r="AZ408" s="97"/>
      <c r="BA408" s="97"/>
      <c r="BB408" s="97"/>
      <c r="BC408" s="97"/>
      <c r="BD408" s="97"/>
      <c r="BE408" s="97"/>
    </row>
    <row r="409" s="115" customFormat="1" customHeight="1" spans="1:57">
      <c r="A409" s="115" t="s">
        <v>5099</v>
      </c>
      <c r="B409" s="111" t="s">
        <v>5100</v>
      </c>
      <c r="C409" s="554" t="s">
        <v>5101</v>
      </c>
      <c r="D409" s="121" t="s">
        <v>5102</v>
      </c>
      <c r="E409" s="266">
        <v>13298429593</v>
      </c>
      <c r="F409" s="267">
        <v>4</v>
      </c>
      <c r="G409" s="268">
        <v>440</v>
      </c>
      <c r="H409" s="268">
        <v>26.77</v>
      </c>
      <c r="I409" s="274" t="s">
        <v>2665</v>
      </c>
      <c r="J409" s="113" t="s">
        <v>5103</v>
      </c>
      <c r="K409" s="266">
        <v>31.25</v>
      </c>
      <c r="L409" s="266" t="s">
        <v>2711</v>
      </c>
      <c r="M409" s="275" t="s">
        <v>4028</v>
      </c>
      <c r="N409" s="113" t="s">
        <v>66</v>
      </c>
      <c r="O409" s="113"/>
      <c r="P409" s="113"/>
      <c r="Q409" s="113">
        <v>20379.808</v>
      </c>
      <c r="R409" s="113">
        <v>636869</v>
      </c>
      <c r="S409" s="280">
        <v>326869</v>
      </c>
      <c r="T409" s="281">
        <f t="shared" si="136"/>
        <v>310000</v>
      </c>
      <c r="U409" s="280"/>
      <c r="V409" s="280"/>
      <c r="W409" s="280"/>
      <c r="X409" s="280"/>
      <c r="Y409" s="113"/>
      <c r="Z409" s="113"/>
      <c r="AA409" s="275"/>
      <c r="AB409" s="113"/>
      <c r="AC409" s="113"/>
      <c r="AD409" s="113"/>
      <c r="AE409" s="133"/>
      <c r="AG409" s="133"/>
      <c r="AH409" s="133"/>
      <c r="AI409" s="132">
        <f t="shared" si="137"/>
        <v>326869</v>
      </c>
      <c r="AJ409" s="132">
        <f t="shared" si="138"/>
        <v>326869</v>
      </c>
      <c r="AK409" s="133">
        <f t="shared" si="139"/>
        <v>0</v>
      </c>
      <c r="AL409" s="132"/>
      <c r="AM409" s="133"/>
      <c r="AN409" s="246">
        <v>44841</v>
      </c>
      <c r="AO409" s="137"/>
      <c r="AP409" s="97"/>
      <c r="AQ409" s="97"/>
      <c r="AR409" s="97"/>
      <c r="AS409" s="97"/>
      <c r="AT409" s="97"/>
      <c r="AU409" s="97"/>
      <c r="AV409" s="97"/>
      <c r="AW409" s="97"/>
      <c r="AX409" s="97"/>
      <c r="AY409" s="97"/>
      <c r="AZ409" s="97"/>
      <c r="BA409" s="97"/>
      <c r="BB409" s="97"/>
      <c r="BC409" s="97"/>
      <c r="BD409" s="97"/>
      <c r="BE409" s="97"/>
    </row>
    <row r="410" s="115" customFormat="1" customHeight="1" spans="1:57">
      <c r="A410" s="115" t="s">
        <v>5104</v>
      </c>
      <c r="B410" s="111" t="s">
        <v>5105</v>
      </c>
      <c r="C410" s="554" t="s">
        <v>5106</v>
      </c>
      <c r="D410" s="121"/>
      <c r="E410" s="266">
        <v>15903681365</v>
      </c>
      <c r="F410" s="267">
        <v>3</v>
      </c>
      <c r="G410" s="268">
        <v>3117</v>
      </c>
      <c r="H410" s="268">
        <v>34.15</v>
      </c>
      <c r="I410" s="274" t="s">
        <v>2665</v>
      </c>
      <c r="J410" s="113" t="s">
        <v>5107</v>
      </c>
      <c r="K410" s="266">
        <v>30.63</v>
      </c>
      <c r="L410" s="266" t="s">
        <v>2711</v>
      </c>
      <c r="M410" s="275" t="s">
        <v>3401</v>
      </c>
      <c r="N410" s="113" t="s">
        <v>56</v>
      </c>
      <c r="O410" s="113"/>
      <c r="P410" s="113"/>
      <c r="Q410" s="113">
        <v>22301.14</v>
      </c>
      <c r="R410" s="113">
        <v>683084</v>
      </c>
      <c r="S410" s="280">
        <v>683084</v>
      </c>
      <c r="T410" s="281">
        <f t="shared" si="136"/>
        <v>0</v>
      </c>
      <c r="U410" s="280"/>
      <c r="V410" s="280"/>
      <c r="W410" s="280"/>
      <c r="X410" s="280"/>
      <c r="Y410" s="113"/>
      <c r="Z410" s="113"/>
      <c r="AA410" s="275"/>
      <c r="AB410" s="113" t="s">
        <v>5108</v>
      </c>
      <c r="AC410" s="113"/>
      <c r="AD410" s="113"/>
      <c r="AE410" s="133"/>
      <c r="AG410" s="133"/>
      <c r="AH410" s="133"/>
      <c r="AI410" s="132">
        <f t="shared" si="137"/>
        <v>683084</v>
      </c>
      <c r="AJ410" s="132">
        <f t="shared" si="138"/>
        <v>683084</v>
      </c>
      <c r="AK410" s="133">
        <f t="shared" si="139"/>
        <v>0</v>
      </c>
      <c r="AL410" s="132"/>
      <c r="AM410" s="133"/>
      <c r="AN410" s="246">
        <v>44841</v>
      </c>
      <c r="AO410" s="137"/>
      <c r="AP410" s="97"/>
      <c r="AQ410" s="97"/>
      <c r="AR410" s="97"/>
      <c r="AS410" s="97"/>
      <c r="AT410" s="97"/>
      <c r="AU410" s="97"/>
      <c r="AV410" s="97"/>
      <c r="AW410" s="97"/>
      <c r="AX410" s="97"/>
      <c r="AY410" s="97"/>
      <c r="AZ410" s="97"/>
      <c r="BA410" s="97"/>
      <c r="BB410" s="97"/>
      <c r="BC410" s="97"/>
      <c r="BD410" s="97"/>
      <c r="BE410" s="97"/>
    </row>
    <row r="411" s="115" customFormat="1" customHeight="1" spans="1:57">
      <c r="A411" s="115" t="s">
        <v>5109</v>
      </c>
      <c r="B411" s="111" t="s">
        <v>5110</v>
      </c>
      <c r="C411" s="111" t="s">
        <v>5111</v>
      </c>
      <c r="D411" s="121" t="s">
        <v>5112</v>
      </c>
      <c r="E411" s="266">
        <v>13503827480</v>
      </c>
      <c r="F411" s="267">
        <v>3</v>
      </c>
      <c r="G411" s="268">
        <v>3879</v>
      </c>
      <c r="H411" s="268">
        <v>22.05</v>
      </c>
      <c r="I411" s="274" t="s">
        <v>2657</v>
      </c>
      <c r="J411" s="113" t="s">
        <v>5113</v>
      </c>
      <c r="K411" s="266">
        <v>21.36</v>
      </c>
      <c r="L411" s="266" t="s">
        <v>4034</v>
      </c>
      <c r="M411" s="275" t="s">
        <v>4034</v>
      </c>
      <c r="N411" s="113" t="s">
        <v>66</v>
      </c>
      <c r="O411" s="113"/>
      <c r="P411" s="113"/>
      <c r="Q411" s="113">
        <v>31705.01</v>
      </c>
      <c r="R411" s="113">
        <v>677219</v>
      </c>
      <c r="S411" s="280">
        <v>347219</v>
      </c>
      <c r="T411" s="281">
        <f t="shared" si="136"/>
        <v>330000</v>
      </c>
      <c r="U411" s="280"/>
      <c r="V411" s="280"/>
      <c r="W411" s="280"/>
      <c r="X411" s="280"/>
      <c r="Y411" s="113"/>
      <c r="Z411" s="113"/>
      <c r="AA411" s="275"/>
      <c r="AB411" s="113"/>
      <c r="AC411" s="113"/>
      <c r="AD411" s="113"/>
      <c r="AE411" s="133"/>
      <c r="AF411" s="115" t="s">
        <v>237</v>
      </c>
      <c r="AG411" s="133"/>
      <c r="AH411" s="133"/>
      <c r="AI411" s="132">
        <f t="shared" si="137"/>
        <v>347219</v>
      </c>
      <c r="AJ411" s="132">
        <f t="shared" si="138"/>
        <v>347219</v>
      </c>
      <c r="AK411" s="133">
        <f t="shared" si="139"/>
        <v>0</v>
      </c>
      <c r="AL411" s="132"/>
      <c r="AM411" s="133"/>
      <c r="AN411" s="246">
        <v>44841</v>
      </c>
      <c r="AO411" s="137"/>
      <c r="AP411" s="97"/>
      <c r="AQ411" s="97"/>
      <c r="AR411" s="97"/>
      <c r="AS411" s="97"/>
      <c r="AT411" s="97"/>
      <c r="AU411" s="97"/>
      <c r="AV411" s="97"/>
      <c r="AW411" s="97"/>
      <c r="AX411" s="97"/>
      <c r="AY411" s="97"/>
      <c r="AZ411" s="97"/>
      <c r="BA411" s="97"/>
      <c r="BB411" s="97"/>
      <c r="BC411" s="97"/>
      <c r="BD411" s="97"/>
      <c r="BE411" s="97"/>
    </row>
    <row r="412" s="115" customFormat="1" customHeight="1" spans="1:57">
      <c r="A412" s="115" t="s">
        <v>5114</v>
      </c>
      <c r="B412" s="111" t="s">
        <v>5115</v>
      </c>
      <c r="C412" s="554" t="s">
        <v>5116</v>
      </c>
      <c r="D412" s="121" t="s">
        <v>5117</v>
      </c>
      <c r="E412" s="266">
        <v>13938582370</v>
      </c>
      <c r="F412" s="267">
        <v>4</v>
      </c>
      <c r="G412" s="268">
        <v>456</v>
      </c>
      <c r="H412" s="268">
        <v>21.25</v>
      </c>
      <c r="I412" s="274" t="s">
        <v>2665</v>
      </c>
      <c r="J412" s="113" t="s">
        <v>5118</v>
      </c>
      <c r="K412" s="266">
        <v>22.2</v>
      </c>
      <c r="L412" s="266" t="s">
        <v>2711</v>
      </c>
      <c r="M412" s="275" t="s">
        <v>3787</v>
      </c>
      <c r="N412" s="113" t="s">
        <v>56</v>
      </c>
      <c r="O412" s="113"/>
      <c r="P412" s="113"/>
      <c r="Q412" s="113">
        <v>20173.963963964</v>
      </c>
      <c r="R412" s="113">
        <v>428697</v>
      </c>
      <c r="S412" s="280">
        <v>428697</v>
      </c>
      <c r="T412" s="281">
        <f t="shared" si="136"/>
        <v>0</v>
      </c>
      <c r="U412" s="280"/>
      <c r="V412" s="280">
        <v>1381</v>
      </c>
      <c r="W412" s="280">
        <v>550</v>
      </c>
      <c r="X412" s="280">
        <v>17234</v>
      </c>
      <c r="Y412" s="113" t="s">
        <v>2669</v>
      </c>
      <c r="Z412" s="113"/>
      <c r="AA412" s="275"/>
      <c r="AB412" s="113"/>
      <c r="AC412" s="113"/>
      <c r="AD412" s="113"/>
      <c r="AE412" s="133"/>
      <c r="AG412" s="133"/>
      <c r="AH412" s="133"/>
      <c r="AI412" s="132">
        <f t="shared" si="137"/>
        <v>447862</v>
      </c>
      <c r="AJ412" s="132">
        <f t="shared" si="138"/>
        <v>447862</v>
      </c>
      <c r="AK412" s="133">
        <f t="shared" si="139"/>
        <v>0</v>
      </c>
      <c r="AL412" s="132"/>
      <c r="AM412" s="133"/>
      <c r="AN412" s="246">
        <v>44841</v>
      </c>
      <c r="AO412" s="137"/>
      <c r="AP412" s="97"/>
      <c r="AQ412" s="97"/>
      <c r="AR412" s="97"/>
      <c r="AS412" s="97"/>
      <c r="AT412" s="97"/>
      <c r="AU412" s="97"/>
      <c r="AV412" s="97"/>
      <c r="AW412" s="97"/>
      <c r="AX412" s="97"/>
      <c r="AY412" s="97"/>
      <c r="AZ412" s="97"/>
      <c r="BA412" s="97"/>
      <c r="BB412" s="97"/>
      <c r="BC412" s="97"/>
      <c r="BD412" s="97"/>
      <c r="BE412" s="97"/>
    </row>
    <row r="413" s="115" customFormat="1" customHeight="1" spans="1:57">
      <c r="A413" s="115" t="s">
        <v>5119</v>
      </c>
      <c r="B413" s="111" t="s">
        <v>5120</v>
      </c>
      <c r="C413" s="111" t="s">
        <v>5121</v>
      </c>
      <c r="D413" s="121" t="s">
        <v>3744</v>
      </c>
      <c r="E413" s="266">
        <v>18039115353</v>
      </c>
      <c r="F413" s="267">
        <v>3</v>
      </c>
      <c r="G413" s="268">
        <v>3252</v>
      </c>
      <c r="H413" s="268">
        <v>21.64</v>
      </c>
      <c r="I413" s="274" t="s">
        <v>2657</v>
      </c>
      <c r="J413" s="113" t="s">
        <v>5122</v>
      </c>
      <c r="K413" s="266">
        <v>20.04</v>
      </c>
      <c r="L413" s="266" t="s">
        <v>2961</v>
      </c>
      <c r="M413" s="275" t="s">
        <v>3472</v>
      </c>
      <c r="N413" s="113" t="s">
        <v>56</v>
      </c>
      <c r="O413" s="113"/>
      <c r="P413" s="113"/>
      <c r="Q413" s="113">
        <v>30039.92</v>
      </c>
      <c r="R413" s="113">
        <v>650064</v>
      </c>
      <c r="S413" s="280">
        <v>650064</v>
      </c>
      <c r="T413" s="281">
        <f t="shared" si="136"/>
        <v>0</v>
      </c>
      <c r="U413" s="280"/>
      <c r="V413" s="280">
        <v>1406</v>
      </c>
      <c r="W413" s="280">
        <v>550</v>
      </c>
      <c r="X413" s="280"/>
      <c r="Y413" s="113" t="s">
        <v>2669</v>
      </c>
      <c r="Z413" s="113"/>
      <c r="AA413" s="275"/>
      <c r="AB413" s="113"/>
      <c r="AC413" s="113"/>
      <c r="AD413" s="113"/>
      <c r="AE413" s="133"/>
      <c r="AG413" s="133"/>
      <c r="AH413" s="133"/>
      <c r="AI413" s="132">
        <f t="shared" si="137"/>
        <v>652020</v>
      </c>
      <c r="AJ413" s="132">
        <f t="shared" si="138"/>
        <v>652020</v>
      </c>
      <c r="AK413" s="133">
        <f t="shared" si="139"/>
        <v>0</v>
      </c>
      <c r="AL413" s="132"/>
      <c r="AM413" s="133"/>
      <c r="AN413" s="246">
        <v>44841</v>
      </c>
      <c r="AO413" s="137"/>
      <c r="AP413" s="97"/>
      <c r="AQ413" s="97"/>
      <c r="AR413" s="97"/>
      <c r="AS413" s="97"/>
      <c r="AT413" s="97"/>
      <c r="AU413" s="97"/>
      <c r="AV413" s="97"/>
      <c r="AW413" s="97"/>
      <c r="AX413" s="97"/>
      <c r="AY413" s="97"/>
      <c r="AZ413" s="97"/>
      <c r="BA413" s="97"/>
      <c r="BB413" s="97"/>
      <c r="BC413" s="97"/>
      <c r="BD413" s="97"/>
      <c r="BE413" s="97"/>
    </row>
    <row r="414" s="115" customFormat="1" customHeight="1" spans="1:57">
      <c r="A414" s="115" t="s">
        <v>5123</v>
      </c>
      <c r="B414" s="111" t="s">
        <v>5124</v>
      </c>
      <c r="C414" s="554" t="s">
        <v>5125</v>
      </c>
      <c r="D414" s="121" t="s">
        <v>5126</v>
      </c>
      <c r="E414" s="266">
        <v>13838339496</v>
      </c>
      <c r="F414" s="267">
        <v>4</v>
      </c>
      <c r="G414" s="268">
        <v>4293</v>
      </c>
      <c r="H414" s="268">
        <v>16.53</v>
      </c>
      <c r="I414" s="274" t="s">
        <v>2657</v>
      </c>
      <c r="J414" s="113" t="s">
        <v>5127</v>
      </c>
      <c r="K414" s="266">
        <v>14.62</v>
      </c>
      <c r="L414" s="266" t="s">
        <v>3326</v>
      </c>
      <c r="M414" s="275" t="s">
        <v>2876</v>
      </c>
      <c r="N414" s="113" t="s">
        <v>56</v>
      </c>
      <c r="O414" s="113"/>
      <c r="P414" s="113"/>
      <c r="Q414" s="113">
        <v>25076.65</v>
      </c>
      <c r="R414" s="113">
        <v>414517</v>
      </c>
      <c r="S414" s="280">
        <v>414517</v>
      </c>
      <c r="T414" s="281">
        <f t="shared" si="136"/>
        <v>0</v>
      </c>
      <c r="U414" s="280"/>
      <c r="V414" s="280">
        <v>1074</v>
      </c>
      <c r="W414" s="280">
        <v>550</v>
      </c>
      <c r="X414" s="280"/>
      <c r="Y414" s="113" t="s">
        <v>2669</v>
      </c>
      <c r="Z414" s="113"/>
      <c r="AA414" s="275"/>
      <c r="AB414" s="113"/>
      <c r="AC414" s="113"/>
      <c r="AD414" s="113"/>
      <c r="AE414" s="133"/>
      <c r="AG414" s="133"/>
      <c r="AH414" s="133"/>
      <c r="AI414" s="132">
        <f t="shared" si="137"/>
        <v>416141</v>
      </c>
      <c r="AJ414" s="132">
        <f t="shared" si="138"/>
        <v>416141</v>
      </c>
      <c r="AK414" s="133">
        <f t="shared" si="139"/>
        <v>0</v>
      </c>
      <c r="AL414" s="132"/>
      <c r="AM414" s="133"/>
      <c r="AN414" s="246">
        <v>44841</v>
      </c>
      <c r="AO414" s="137"/>
      <c r="AP414" s="97"/>
      <c r="AQ414" s="97"/>
      <c r="AR414" s="97"/>
      <c r="AS414" s="97"/>
      <c r="AT414" s="97"/>
      <c r="AU414" s="97"/>
      <c r="AV414" s="97"/>
      <c r="AW414" s="97"/>
      <c r="AX414" s="97"/>
      <c r="AY414" s="97"/>
      <c r="AZ414" s="97"/>
      <c r="BA414" s="97"/>
      <c r="BB414" s="97"/>
      <c r="BC414" s="97"/>
      <c r="BD414" s="97"/>
      <c r="BE414" s="97"/>
    </row>
    <row r="415" s="115" customFormat="1" customHeight="1" spans="1:57">
      <c r="A415" s="115" t="s">
        <v>5128</v>
      </c>
      <c r="B415" s="111" t="s">
        <v>5129</v>
      </c>
      <c r="C415" s="111" t="s">
        <v>5130</v>
      </c>
      <c r="D415" s="121" t="s">
        <v>5131</v>
      </c>
      <c r="E415" s="266">
        <v>18539418201</v>
      </c>
      <c r="F415" s="267">
        <v>4</v>
      </c>
      <c r="G415" s="268">
        <v>4266</v>
      </c>
      <c r="H415" s="268">
        <v>15.45</v>
      </c>
      <c r="I415" s="274" t="s">
        <v>2657</v>
      </c>
      <c r="J415" s="113" t="s">
        <v>5132</v>
      </c>
      <c r="K415" s="266">
        <v>13.6</v>
      </c>
      <c r="L415" s="266" t="s">
        <v>3514</v>
      </c>
      <c r="M415" s="275" t="s">
        <v>3338</v>
      </c>
      <c r="N415" s="113" t="s">
        <v>66</v>
      </c>
      <c r="O415" s="113"/>
      <c r="P415" s="113"/>
      <c r="Q415" s="113">
        <v>26034.85</v>
      </c>
      <c r="R415" s="113">
        <v>354074</v>
      </c>
      <c r="S415" s="280">
        <v>184074</v>
      </c>
      <c r="T415" s="281">
        <f t="shared" si="136"/>
        <v>170000</v>
      </c>
      <c r="U415" s="280"/>
      <c r="V415" s="280"/>
      <c r="W415" s="280"/>
      <c r="X415" s="280"/>
      <c r="Y415" s="113"/>
      <c r="Z415" s="113"/>
      <c r="AA415" s="275"/>
      <c r="AB415" s="113"/>
      <c r="AC415" s="113"/>
      <c r="AD415" s="113"/>
      <c r="AE415" s="133"/>
      <c r="AG415" s="133"/>
      <c r="AH415" s="133"/>
      <c r="AI415" s="132">
        <f t="shared" si="137"/>
        <v>184074</v>
      </c>
      <c r="AJ415" s="132">
        <f t="shared" si="138"/>
        <v>184074</v>
      </c>
      <c r="AK415" s="133">
        <f t="shared" si="139"/>
        <v>0</v>
      </c>
      <c r="AL415" s="132"/>
      <c r="AM415" s="133"/>
      <c r="AN415" s="246">
        <v>44841</v>
      </c>
      <c r="AO415" s="137"/>
      <c r="AP415" s="97"/>
      <c r="AQ415" s="97"/>
      <c r="AR415" s="97"/>
      <c r="AS415" s="97"/>
      <c r="AT415" s="97"/>
      <c r="AU415" s="97"/>
      <c r="AV415" s="97"/>
      <c r="AW415" s="97"/>
      <c r="AX415" s="97"/>
      <c r="AY415" s="97"/>
      <c r="AZ415" s="97"/>
      <c r="BA415" s="97"/>
      <c r="BB415" s="97"/>
      <c r="BC415" s="97"/>
      <c r="BD415" s="97"/>
      <c r="BE415" s="97"/>
    </row>
    <row r="416" s="115" customFormat="1" customHeight="1" spans="1:57">
      <c r="A416" s="115" t="s">
        <v>5133</v>
      </c>
      <c r="B416" s="111" t="s">
        <v>5134</v>
      </c>
      <c r="C416" s="111" t="s">
        <v>5135</v>
      </c>
      <c r="D416" s="121" t="s">
        <v>5136</v>
      </c>
      <c r="E416" s="266" t="s">
        <v>5137</v>
      </c>
      <c r="F416" s="267">
        <v>3</v>
      </c>
      <c r="G416" s="268">
        <v>3270</v>
      </c>
      <c r="H416" s="268">
        <v>18.03</v>
      </c>
      <c r="I416" s="274" t="s">
        <v>2657</v>
      </c>
      <c r="J416" s="113" t="s">
        <v>5138</v>
      </c>
      <c r="K416" s="266">
        <v>18.72</v>
      </c>
      <c r="L416" s="266" t="s">
        <v>4670</v>
      </c>
      <c r="M416" s="275" t="s">
        <v>2869</v>
      </c>
      <c r="N416" s="113" t="s">
        <v>66</v>
      </c>
      <c r="O416" s="113"/>
      <c r="P416" s="113"/>
      <c r="Q416" s="113">
        <v>31052.63</v>
      </c>
      <c r="R416" s="113">
        <v>559879</v>
      </c>
      <c r="S416" s="280">
        <v>299879</v>
      </c>
      <c r="T416" s="281">
        <f t="shared" si="136"/>
        <v>260000</v>
      </c>
      <c r="U416" s="280"/>
      <c r="V416" s="280">
        <v>1171</v>
      </c>
      <c r="W416" s="280">
        <v>550</v>
      </c>
      <c r="X416" s="280"/>
      <c r="Y416" s="113" t="s">
        <v>2669</v>
      </c>
      <c r="Z416" s="113"/>
      <c r="AA416" s="275"/>
      <c r="AB416" s="113" t="s">
        <v>5139</v>
      </c>
      <c r="AC416" s="113"/>
      <c r="AD416" s="113"/>
      <c r="AE416" s="133">
        <v>-3382</v>
      </c>
      <c r="AG416" s="133"/>
      <c r="AH416" s="133"/>
      <c r="AI416" s="132">
        <f t="shared" si="137"/>
        <v>298218</v>
      </c>
      <c r="AJ416" s="132">
        <f t="shared" si="138"/>
        <v>301600</v>
      </c>
      <c r="AK416" s="133">
        <f t="shared" si="139"/>
        <v>-3382</v>
      </c>
      <c r="AL416" s="132" t="s">
        <v>5140</v>
      </c>
      <c r="AM416" s="133"/>
      <c r="AN416" s="246">
        <v>44841</v>
      </c>
      <c r="AO416" s="137" t="s">
        <v>4637</v>
      </c>
      <c r="AP416" s="97"/>
      <c r="AQ416" s="97"/>
      <c r="AR416" s="97"/>
      <c r="AS416" s="97"/>
      <c r="AT416" s="97"/>
      <c r="AU416" s="97"/>
      <c r="AV416" s="97"/>
      <c r="AW416" s="97"/>
      <c r="AX416" s="97"/>
      <c r="AY416" s="97"/>
      <c r="AZ416" s="97"/>
      <c r="BA416" s="97"/>
      <c r="BB416" s="97"/>
      <c r="BC416" s="97"/>
      <c r="BD416" s="97"/>
      <c r="BE416" s="97"/>
    </row>
    <row r="417" s="115" customFormat="1" customHeight="1" spans="1:57">
      <c r="A417" s="115" t="s">
        <v>5141</v>
      </c>
      <c r="B417" s="111" t="s">
        <v>5142</v>
      </c>
      <c r="C417" s="554" t="s">
        <v>5143</v>
      </c>
      <c r="D417" s="121" t="s">
        <v>5144</v>
      </c>
      <c r="E417" s="266">
        <v>13623719894</v>
      </c>
      <c r="F417" s="267">
        <v>4</v>
      </c>
      <c r="G417" s="268">
        <v>4267</v>
      </c>
      <c r="H417" s="268">
        <v>14.97</v>
      </c>
      <c r="I417" s="274" t="s">
        <v>2657</v>
      </c>
      <c r="J417" s="113" t="s">
        <v>5145</v>
      </c>
      <c r="K417" s="266">
        <v>13.55</v>
      </c>
      <c r="L417" s="266" t="s">
        <v>3514</v>
      </c>
      <c r="M417" s="275" t="s">
        <v>3016</v>
      </c>
      <c r="N417" s="113" t="s">
        <v>56</v>
      </c>
      <c r="O417" s="113"/>
      <c r="P417" s="113"/>
      <c r="Q417" s="113">
        <v>25245.98</v>
      </c>
      <c r="R417" s="113">
        <v>342083</v>
      </c>
      <c r="S417" s="280">
        <v>342083</v>
      </c>
      <c r="T417" s="281">
        <f t="shared" si="136"/>
        <v>0</v>
      </c>
      <c r="U417" s="280"/>
      <c r="V417" s="280"/>
      <c r="W417" s="280"/>
      <c r="X417" s="280"/>
      <c r="Y417" s="113"/>
      <c r="Z417" s="113"/>
      <c r="AA417" s="275"/>
      <c r="AB417" s="113"/>
      <c r="AC417" s="113"/>
      <c r="AD417" s="113"/>
      <c r="AE417" s="133"/>
      <c r="AG417" s="133"/>
      <c r="AH417" s="133"/>
      <c r="AI417" s="132">
        <f t="shared" ref="AI417:AI425" si="140">S417+U417+V417+W417+X417+AC417+AD417+AE417</f>
        <v>342083</v>
      </c>
      <c r="AJ417" s="132">
        <f t="shared" ref="AJ417:AJ425" si="141">S417+U417+V417+W417+X417</f>
        <v>342083</v>
      </c>
      <c r="AK417" s="133">
        <f t="shared" ref="AK417:AK425" si="142">AI417-AJ417</f>
        <v>0</v>
      </c>
      <c r="AL417" s="132"/>
      <c r="AM417" s="133"/>
      <c r="AN417" s="246">
        <v>44841</v>
      </c>
      <c r="AO417" s="137"/>
      <c r="AP417" s="97"/>
      <c r="AQ417" s="97"/>
      <c r="AR417" s="97"/>
      <c r="AS417" s="97"/>
      <c r="AT417" s="97"/>
      <c r="AU417" s="97"/>
      <c r="AV417" s="97"/>
      <c r="AW417" s="97"/>
      <c r="AX417" s="97"/>
      <c r="AY417" s="97"/>
      <c r="AZ417" s="97"/>
      <c r="BA417" s="97"/>
      <c r="BB417" s="97"/>
      <c r="BC417" s="97"/>
      <c r="BD417" s="97"/>
      <c r="BE417" s="97"/>
    </row>
    <row r="418" s="115" customFormat="1" customHeight="1" spans="1:57">
      <c r="A418" s="115" t="s">
        <v>5146</v>
      </c>
      <c r="B418" s="111" t="s">
        <v>5147</v>
      </c>
      <c r="C418" s="111" t="s">
        <v>5148</v>
      </c>
      <c r="D418" s="121" t="s">
        <v>5149</v>
      </c>
      <c r="E418" s="266" t="s">
        <v>5150</v>
      </c>
      <c r="F418" s="267">
        <v>3</v>
      </c>
      <c r="G418" s="268">
        <v>3258</v>
      </c>
      <c r="H418" s="268">
        <v>21.64</v>
      </c>
      <c r="I418" s="274" t="s">
        <v>2665</v>
      </c>
      <c r="J418" s="113" t="s">
        <v>5151</v>
      </c>
      <c r="K418" s="266">
        <v>40.08</v>
      </c>
      <c r="L418" s="266" t="s">
        <v>5152</v>
      </c>
      <c r="M418" s="275" t="s">
        <v>2814</v>
      </c>
      <c r="N418" s="113" t="s">
        <v>56</v>
      </c>
      <c r="O418" s="113"/>
      <c r="P418" s="113"/>
      <c r="Q418" s="113">
        <v>22954.09</v>
      </c>
      <c r="R418" s="113">
        <v>496727</v>
      </c>
      <c r="S418" s="280">
        <v>496727</v>
      </c>
      <c r="T418" s="281">
        <f t="shared" si="136"/>
        <v>0</v>
      </c>
      <c r="U418" s="280"/>
      <c r="V418" s="280">
        <v>1406</v>
      </c>
      <c r="W418" s="280">
        <v>550</v>
      </c>
      <c r="X418" s="280">
        <v>21317</v>
      </c>
      <c r="Y418" s="113" t="s">
        <v>2669</v>
      </c>
      <c r="Z418" s="113"/>
      <c r="AA418" s="275"/>
      <c r="AB418" s="113"/>
      <c r="AC418" s="113"/>
      <c r="AD418" s="113"/>
      <c r="AE418" s="133"/>
      <c r="AG418" s="133"/>
      <c r="AH418" s="133"/>
      <c r="AI418" s="132">
        <f t="shared" si="140"/>
        <v>520000</v>
      </c>
      <c r="AJ418" s="132">
        <f t="shared" si="141"/>
        <v>520000</v>
      </c>
      <c r="AK418" s="133">
        <f t="shared" si="142"/>
        <v>0</v>
      </c>
      <c r="AL418" s="132"/>
      <c r="AM418" s="133"/>
      <c r="AN418" s="246">
        <v>44841</v>
      </c>
      <c r="AO418" s="137"/>
      <c r="AP418" s="97"/>
      <c r="AQ418" s="97"/>
      <c r="AR418" s="97"/>
      <c r="AS418" s="97"/>
      <c r="AT418" s="97"/>
      <c r="AU418" s="97"/>
      <c r="AV418" s="97"/>
      <c r="AW418" s="97"/>
      <c r="AX418" s="97"/>
      <c r="AY418" s="97"/>
      <c r="AZ418" s="97"/>
      <c r="BA418" s="97"/>
      <c r="BB418" s="97"/>
      <c r="BC418" s="97"/>
      <c r="BD418" s="97"/>
      <c r="BE418" s="97"/>
    </row>
    <row r="419" s="115" customFormat="1" customHeight="1" spans="1:57">
      <c r="A419" s="115" t="s">
        <v>5153</v>
      </c>
      <c r="B419" s="111" t="s">
        <v>5154</v>
      </c>
      <c r="C419" s="554" t="s">
        <v>5155</v>
      </c>
      <c r="D419" s="121" t="s">
        <v>5156</v>
      </c>
      <c r="E419" s="266">
        <v>13653839693</v>
      </c>
      <c r="F419" s="267">
        <v>1</v>
      </c>
      <c r="G419" s="268">
        <v>135</v>
      </c>
      <c r="H419" s="268">
        <v>18.16</v>
      </c>
      <c r="I419" s="274" t="s">
        <v>2657</v>
      </c>
      <c r="J419" s="113" t="s">
        <v>5157</v>
      </c>
      <c r="K419" s="266">
        <v>17</v>
      </c>
      <c r="L419" s="266" t="s">
        <v>4670</v>
      </c>
      <c r="M419" s="275" t="s">
        <v>3048</v>
      </c>
      <c r="N419" s="113" t="s">
        <v>2677</v>
      </c>
      <c r="O419" s="113"/>
      <c r="P419" s="113"/>
      <c r="Q419" s="113">
        <v>47486.65</v>
      </c>
      <c r="R419" s="113">
        <v>807273</v>
      </c>
      <c r="S419" s="280">
        <v>407273</v>
      </c>
      <c r="T419" s="281">
        <f t="shared" si="136"/>
        <v>400000</v>
      </c>
      <c r="U419" s="280"/>
      <c r="V419" s="280"/>
      <c r="W419" s="280"/>
      <c r="X419" s="280"/>
      <c r="Y419" s="113"/>
      <c r="Z419" s="113"/>
      <c r="AA419" s="275"/>
      <c r="AB419" s="113" t="s">
        <v>5158</v>
      </c>
      <c r="AC419" s="113"/>
      <c r="AD419" s="113"/>
      <c r="AE419" s="133"/>
      <c r="AG419" s="133"/>
      <c r="AH419" s="133"/>
      <c r="AI419" s="132">
        <f t="shared" si="140"/>
        <v>407273</v>
      </c>
      <c r="AJ419" s="132">
        <f t="shared" si="141"/>
        <v>407273</v>
      </c>
      <c r="AK419" s="133">
        <f t="shared" si="142"/>
        <v>0</v>
      </c>
      <c r="AL419" s="132"/>
      <c r="AM419" s="133"/>
      <c r="AN419" s="246">
        <v>44841</v>
      </c>
      <c r="AO419" s="137"/>
      <c r="AP419" s="97"/>
      <c r="AQ419" s="97"/>
      <c r="AR419" s="97"/>
      <c r="AS419" s="97"/>
      <c r="AT419" s="97"/>
      <c r="AU419" s="97"/>
      <c r="AV419" s="97"/>
      <c r="AW419" s="97"/>
      <c r="AX419" s="97"/>
      <c r="AY419" s="97"/>
      <c r="AZ419" s="97"/>
      <c r="BA419" s="97"/>
      <c r="BB419" s="97"/>
      <c r="BC419" s="97"/>
      <c r="BD419" s="97"/>
      <c r="BE419" s="97"/>
    </row>
    <row r="420" s="115" customFormat="1" customHeight="1" spans="1:57">
      <c r="A420" s="115" t="s">
        <v>5159</v>
      </c>
      <c r="B420" s="111" t="s">
        <v>5160</v>
      </c>
      <c r="C420" s="554" t="s">
        <v>5161</v>
      </c>
      <c r="D420" s="121" t="s">
        <v>5162</v>
      </c>
      <c r="E420" s="266">
        <v>17839913314</v>
      </c>
      <c r="F420" s="267">
        <v>2</v>
      </c>
      <c r="G420" s="268">
        <v>266</v>
      </c>
      <c r="H420" s="268">
        <v>20.35</v>
      </c>
      <c r="I420" s="274" t="s">
        <v>2665</v>
      </c>
      <c r="J420" s="113" t="s">
        <v>5163</v>
      </c>
      <c r="K420" s="266">
        <v>23.8</v>
      </c>
      <c r="L420" s="266" t="s">
        <v>2799</v>
      </c>
      <c r="M420" s="275" t="s">
        <v>4663</v>
      </c>
      <c r="N420" s="113" t="s">
        <v>66</v>
      </c>
      <c r="O420" s="113"/>
      <c r="P420" s="113"/>
      <c r="Q420" s="113">
        <v>29856.13</v>
      </c>
      <c r="R420" s="113">
        <v>607572</v>
      </c>
      <c r="S420" s="280">
        <v>357572</v>
      </c>
      <c r="T420" s="281">
        <f t="shared" si="136"/>
        <v>250000</v>
      </c>
      <c r="U420" s="280"/>
      <c r="V420" s="280">
        <v>1322</v>
      </c>
      <c r="W420" s="280">
        <v>550</v>
      </c>
      <c r="X420" s="280">
        <v>1132</v>
      </c>
      <c r="Y420" s="113"/>
      <c r="Z420" s="113"/>
      <c r="AA420" s="275"/>
      <c r="AB420" s="113"/>
      <c r="AC420" s="113"/>
      <c r="AD420" s="113"/>
      <c r="AE420" s="133"/>
      <c r="AG420" s="133"/>
      <c r="AH420" s="133"/>
      <c r="AI420" s="132">
        <f t="shared" si="140"/>
        <v>360576</v>
      </c>
      <c r="AJ420" s="132">
        <f t="shared" si="141"/>
        <v>360576</v>
      </c>
      <c r="AK420" s="133">
        <f t="shared" si="142"/>
        <v>0</v>
      </c>
      <c r="AL420" s="132"/>
      <c r="AM420" s="133"/>
      <c r="AN420" s="246">
        <v>44841</v>
      </c>
      <c r="AO420" s="137"/>
      <c r="AP420" s="97"/>
      <c r="AQ420" s="97"/>
      <c r="AR420" s="97"/>
      <c r="AS420" s="97"/>
      <c r="AT420" s="97"/>
      <c r="AU420" s="97"/>
      <c r="AV420" s="97"/>
      <c r="AW420" s="97"/>
      <c r="AX420" s="97"/>
      <c r="AY420" s="97"/>
      <c r="AZ420" s="97"/>
      <c r="BA420" s="97"/>
      <c r="BB420" s="97"/>
      <c r="BC420" s="97"/>
      <c r="BD420" s="97"/>
      <c r="BE420" s="97"/>
    </row>
    <row r="421" s="115" customFormat="1" customHeight="1" spans="1:57">
      <c r="A421" s="115" t="s">
        <v>5164</v>
      </c>
      <c r="B421" s="111" t="s">
        <v>5165</v>
      </c>
      <c r="C421" s="554" t="s">
        <v>5166</v>
      </c>
      <c r="D421" s="121" t="s">
        <v>5167</v>
      </c>
      <c r="E421" s="266">
        <v>13674900887</v>
      </c>
      <c r="F421" s="267">
        <v>1</v>
      </c>
      <c r="G421" s="268">
        <v>191</v>
      </c>
      <c r="H421" s="268">
        <v>30.1</v>
      </c>
      <c r="I421" s="274" t="s">
        <v>2657</v>
      </c>
      <c r="J421" s="113" t="s">
        <v>5168</v>
      </c>
      <c r="K421" s="266">
        <v>34.94</v>
      </c>
      <c r="L421" s="266" t="s">
        <v>2691</v>
      </c>
      <c r="M421" s="275" t="s">
        <v>5169</v>
      </c>
      <c r="N421" s="113" t="s">
        <v>66</v>
      </c>
      <c r="O421" s="113"/>
      <c r="P421" s="113"/>
      <c r="Q421" s="113">
        <v>47061.28</v>
      </c>
      <c r="R421" s="113">
        <v>1644321</v>
      </c>
      <c r="S421" s="280">
        <v>824321</v>
      </c>
      <c r="T421" s="281">
        <f t="shared" si="136"/>
        <v>820000</v>
      </c>
      <c r="U421" s="280"/>
      <c r="V421" s="280"/>
      <c r="W421" s="280"/>
      <c r="X421" s="280"/>
      <c r="Y421" s="113"/>
      <c r="Z421" s="113"/>
      <c r="AA421" s="275"/>
      <c r="AB421" s="113"/>
      <c r="AC421" s="113"/>
      <c r="AD421" s="113"/>
      <c r="AE421" s="133"/>
      <c r="AG421" s="133"/>
      <c r="AH421" s="133"/>
      <c r="AI421" s="132">
        <f t="shared" si="140"/>
        <v>824321</v>
      </c>
      <c r="AJ421" s="132">
        <f t="shared" si="141"/>
        <v>824321</v>
      </c>
      <c r="AK421" s="133">
        <f t="shared" si="142"/>
        <v>0</v>
      </c>
      <c r="AL421" s="132"/>
      <c r="AM421" s="133"/>
      <c r="AN421" s="246">
        <v>44841</v>
      </c>
      <c r="AO421" s="137"/>
      <c r="AP421" s="97"/>
      <c r="AQ421" s="97"/>
      <c r="AR421" s="97"/>
      <c r="AS421" s="97"/>
      <c r="AT421" s="97"/>
      <c r="AU421" s="97"/>
      <c r="AV421" s="97"/>
      <c r="AW421" s="97"/>
      <c r="AX421" s="97"/>
      <c r="AY421" s="97"/>
      <c r="AZ421" s="97"/>
      <c r="BA421" s="97"/>
      <c r="BB421" s="97"/>
      <c r="BC421" s="97"/>
      <c r="BD421" s="97"/>
      <c r="BE421" s="97"/>
    </row>
    <row r="422" s="115" customFormat="1" customHeight="1" spans="1:57">
      <c r="A422" s="115" t="s">
        <v>5170</v>
      </c>
      <c r="B422" s="111" t="s">
        <v>5171</v>
      </c>
      <c r="C422" s="111" t="s">
        <v>5172</v>
      </c>
      <c r="D422" s="121" t="s">
        <v>5173</v>
      </c>
      <c r="E422" s="266">
        <v>15037163134</v>
      </c>
      <c r="F422" s="267">
        <v>3</v>
      </c>
      <c r="G422" s="268">
        <v>3575</v>
      </c>
      <c r="H422" s="268">
        <v>9.74</v>
      </c>
      <c r="I422" s="274" t="s">
        <v>2657</v>
      </c>
      <c r="J422" s="113" t="s">
        <v>5174</v>
      </c>
      <c r="K422" s="266">
        <v>9.35</v>
      </c>
      <c r="L422" s="266" t="s">
        <v>2897</v>
      </c>
      <c r="M422" s="275" t="s">
        <v>4105</v>
      </c>
      <c r="N422" s="113" t="s">
        <v>66</v>
      </c>
      <c r="O422" s="113"/>
      <c r="P422" s="113"/>
      <c r="Q422" s="113">
        <v>33410.27</v>
      </c>
      <c r="R422" s="113">
        <v>312386</v>
      </c>
      <c r="S422" s="280">
        <v>162386</v>
      </c>
      <c r="T422" s="281">
        <f t="shared" si="136"/>
        <v>150000</v>
      </c>
      <c r="U422" s="280"/>
      <c r="V422" s="280"/>
      <c r="W422" s="280"/>
      <c r="X422" s="280"/>
      <c r="Y422" s="113" t="s">
        <v>2669</v>
      </c>
      <c r="Z422" s="113"/>
      <c r="AA422" s="275"/>
      <c r="AB422" s="113"/>
      <c r="AC422" s="113">
        <v>1236</v>
      </c>
      <c r="AD422" s="113"/>
      <c r="AE422" s="133"/>
      <c r="AG422" s="133"/>
      <c r="AH422" s="133"/>
      <c r="AI422" s="132">
        <f t="shared" si="140"/>
        <v>163622</v>
      </c>
      <c r="AJ422" s="132">
        <f t="shared" si="141"/>
        <v>162386</v>
      </c>
      <c r="AK422" s="133">
        <f t="shared" si="142"/>
        <v>1236</v>
      </c>
      <c r="AL422" s="132"/>
      <c r="AM422" s="133"/>
      <c r="AN422" s="246">
        <v>44841</v>
      </c>
      <c r="AO422" s="137"/>
      <c r="AP422" s="97"/>
      <c r="AQ422" s="97"/>
      <c r="AR422" s="97"/>
      <c r="AS422" s="97"/>
      <c r="AT422" s="97"/>
      <c r="AU422" s="97"/>
      <c r="AV422" s="97"/>
      <c r="AW422" s="97"/>
      <c r="AX422" s="97"/>
      <c r="AY422" s="97"/>
      <c r="AZ422" s="97"/>
      <c r="BA422" s="97"/>
      <c r="BB422" s="97"/>
      <c r="BC422" s="97"/>
      <c r="BD422" s="97"/>
      <c r="BE422" s="97"/>
    </row>
    <row r="423" s="115" customFormat="1" customHeight="1" spans="1:57">
      <c r="A423" s="115" t="s">
        <v>5175</v>
      </c>
      <c r="B423" s="111" t="s">
        <v>5176</v>
      </c>
      <c r="C423" s="111" t="s">
        <v>5177</v>
      </c>
      <c r="D423" s="121" t="s">
        <v>5178</v>
      </c>
      <c r="E423" s="266">
        <v>15637178811</v>
      </c>
      <c r="F423" s="267">
        <v>3</v>
      </c>
      <c r="G423" s="268">
        <v>3349</v>
      </c>
      <c r="H423" s="268">
        <v>12.26</v>
      </c>
      <c r="I423" s="274" t="s">
        <v>2657</v>
      </c>
      <c r="J423" s="113" t="s">
        <v>5179</v>
      </c>
      <c r="K423" s="266">
        <v>9.86</v>
      </c>
      <c r="L423" s="266" t="s">
        <v>3035</v>
      </c>
      <c r="M423" s="275" t="s">
        <v>2668</v>
      </c>
      <c r="N423" s="113" t="s">
        <v>56</v>
      </c>
      <c r="O423" s="113"/>
      <c r="P423" s="113"/>
      <c r="Q423" s="113">
        <v>31947.26</v>
      </c>
      <c r="R423" s="113">
        <v>391673</v>
      </c>
      <c r="S423" s="280">
        <v>391673</v>
      </c>
      <c r="T423" s="281">
        <f t="shared" si="136"/>
        <v>0</v>
      </c>
      <c r="U423" s="280"/>
      <c r="V423" s="280">
        <v>796</v>
      </c>
      <c r="W423" s="280">
        <v>550</v>
      </c>
      <c r="X423" s="280"/>
      <c r="Y423" s="113" t="s">
        <v>2669</v>
      </c>
      <c r="Z423" s="113" t="s">
        <v>48</v>
      </c>
      <c r="AA423" s="275">
        <v>44076</v>
      </c>
      <c r="AB423" s="113"/>
      <c r="AC423" s="113"/>
      <c r="AD423" s="113"/>
      <c r="AE423" s="133"/>
      <c r="AG423" s="133"/>
      <c r="AH423" s="133"/>
      <c r="AI423" s="132">
        <f t="shared" si="140"/>
        <v>393019</v>
      </c>
      <c r="AJ423" s="132">
        <f t="shared" si="141"/>
        <v>393019</v>
      </c>
      <c r="AK423" s="133">
        <f t="shared" si="142"/>
        <v>0</v>
      </c>
      <c r="AL423" s="132"/>
      <c r="AM423" s="133"/>
      <c r="AN423" s="246">
        <v>44841</v>
      </c>
      <c r="AO423" s="137"/>
      <c r="AP423" s="97"/>
      <c r="AQ423" s="97"/>
      <c r="AR423" s="97"/>
      <c r="AS423" s="97"/>
      <c r="AT423" s="97"/>
      <c r="AU423" s="97"/>
      <c r="AV423" s="97"/>
      <c r="AW423" s="97"/>
      <c r="AX423" s="97"/>
      <c r="AY423" s="97"/>
      <c r="AZ423" s="97"/>
      <c r="BA423" s="97"/>
      <c r="BB423" s="97"/>
      <c r="BC423" s="97"/>
      <c r="BD423" s="97"/>
      <c r="BE423" s="97"/>
    </row>
    <row r="424" s="115" customFormat="1" customHeight="1" spans="1:57">
      <c r="A424" s="115" t="s">
        <v>5180</v>
      </c>
      <c r="B424" s="111" t="s">
        <v>518</v>
      </c>
      <c r="C424" s="554" t="s">
        <v>5181</v>
      </c>
      <c r="D424" s="121" t="s">
        <v>5182</v>
      </c>
      <c r="E424" s="266" t="s">
        <v>5183</v>
      </c>
      <c r="F424" s="267">
        <v>1</v>
      </c>
      <c r="G424" s="268">
        <v>1719</v>
      </c>
      <c r="H424" s="268">
        <v>15.19</v>
      </c>
      <c r="I424" s="274" t="s">
        <v>2657</v>
      </c>
      <c r="J424" s="113" t="s">
        <v>5184</v>
      </c>
      <c r="K424" s="266">
        <v>16.13</v>
      </c>
      <c r="L424" s="266" t="s">
        <v>4363</v>
      </c>
      <c r="M424" s="275" t="s">
        <v>5185</v>
      </c>
      <c r="N424" s="113" t="s">
        <v>66</v>
      </c>
      <c r="O424" s="113"/>
      <c r="P424" s="113"/>
      <c r="Q424" s="113">
        <v>47534.28</v>
      </c>
      <c r="R424" s="113">
        <v>722046</v>
      </c>
      <c r="S424" s="280">
        <v>522046</v>
      </c>
      <c r="T424" s="281">
        <f t="shared" si="136"/>
        <v>200000</v>
      </c>
      <c r="U424" s="280"/>
      <c r="V424" s="280">
        <v>987</v>
      </c>
      <c r="W424" s="280">
        <v>550</v>
      </c>
      <c r="X424" s="280"/>
      <c r="Y424" s="113" t="s">
        <v>2669</v>
      </c>
      <c r="Z424" s="113"/>
      <c r="AA424" s="275"/>
      <c r="AB424" s="113" t="s">
        <v>5186</v>
      </c>
      <c r="AC424" s="113"/>
      <c r="AD424" s="113"/>
      <c r="AE424" s="133"/>
      <c r="AG424" s="133"/>
      <c r="AH424" s="133"/>
      <c r="AI424" s="132">
        <f t="shared" si="140"/>
        <v>523583</v>
      </c>
      <c r="AJ424" s="132">
        <f t="shared" si="141"/>
        <v>523583</v>
      </c>
      <c r="AK424" s="133">
        <f t="shared" si="142"/>
        <v>0</v>
      </c>
      <c r="AL424" s="132"/>
      <c r="AM424" s="133"/>
      <c r="AN424" s="246">
        <v>44841</v>
      </c>
      <c r="AO424" s="137"/>
      <c r="AP424" s="97"/>
      <c r="AQ424" s="97"/>
      <c r="AR424" s="97"/>
      <c r="AS424" s="97"/>
      <c r="AT424" s="97"/>
      <c r="AU424" s="97"/>
      <c r="AV424" s="97"/>
      <c r="AW424" s="97"/>
      <c r="AX424" s="97"/>
      <c r="AY424" s="97"/>
      <c r="AZ424" s="97"/>
      <c r="BA424" s="97"/>
      <c r="BB424" s="97"/>
      <c r="BC424" s="97"/>
      <c r="BD424" s="97"/>
      <c r="BE424" s="97"/>
    </row>
    <row r="425" s="115" customFormat="1" customHeight="1" spans="1:57">
      <c r="A425" s="115" t="s">
        <v>5187</v>
      </c>
      <c r="B425" s="111" t="s">
        <v>5188</v>
      </c>
      <c r="C425" s="554" t="s">
        <v>5189</v>
      </c>
      <c r="D425" s="121" t="s">
        <v>5190</v>
      </c>
      <c r="E425" s="266">
        <v>13525281116</v>
      </c>
      <c r="F425" s="267">
        <v>1</v>
      </c>
      <c r="G425" s="268">
        <v>1211</v>
      </c>
      <c r="H425" s="268">
        <v>23.11</v>
      </c>
      <c r="I425" s="274" t="s">
        <v>2657</v>
      </c>
      <c r="J425" s="113" t="s">
        <v>5191</v>
      </c>
      <c r="K425" s="266">
        <v>21.27</v>
      </c>
      <c r="L425" s="266" t="s">
        <v>3073</v>
      </c>
      <c r="M425" s="275" t="s">
        <v>3073</v>
      </c>
      <c r="N425" s="113" t="s">
        <v>66</v>
      </c>
      <c r="O425" s="113"/>
      <c r="P425" s="113"/>
      <c r="Q425" s="113">
        <v>44663.85</v>
      </c>
      <c r="R425" s="113">
        <v>950000</v>
      </c>
      <c r="S425" s="280">
        <v>480000</v>
      </c>
      <c r="T425" s="281">
        <f t="shared" si="136"/>
        <v>470000</v>
      </c>
      <c r="U425" s="280"/>
      <c r="V425" s="280"/>
      <c r="W425" s="280"/>
      <c r="X425" s="280"/>
      <c r="Y425" s="113"/>
      <c r="Z425" s="113"/>
      <c r="AA425" s="275"/>
      <c r="AB425" s="113"/>
      <c r="AC425" s="113"/>
      <c r="AD425" s="113"/>
      <c r="AE425" s="133"/>
      <c r="AG425" s="133"/>
      <c r="AH425" s="133"/>
      <c r="AI425" s="132">
        <f t="shared" si="140"/>
        <v>480000</v>
      </c>
      <c r="AJ425" s="132">
        <f t="shared" si="141"/>
        <v>480000</v>
      </c>
      <c r="AK425" s="133">
        <f t="shared" si="142"/>
        <v>0</v>
      </c>
      <c r="AL425" s="132"/>
      <c r="AM425" s="133"/>
      <c r="AN425" s="246">
        <v>44841</v>
      </c>
      <c r="AO425" s="137"/>
      <c r="AP425" s="97"/>
      <c r="AQ425" s="97"/>
      <c r="AR425" s="97"/>
      <c r="AS425" s="97"/>
      <c r="AT425" s="97"/>
      <c r="AU425" s="97"/>
      <c r="AV425" s="97"/>
      <c r="AW425" s="97"/>
      <c r="AX425" s="97"/>
      <c r="AY425" s="97"/>
      <c r="AZ425" s="97"/>
      <c r="BA425" s="97"/>
      <c r="BB425" s="97"/>
      <c r="BC425" s="97"/>
      <c r="BD425" s="97"/>
      <c r="BE425" s="97"/>
    </row>
    <row r="426" s="115" customFormat="1" customHeight="1" spans="1:57">
      <c r="A426" s="115" t="s">
        <v>5192</v>
      </c>
      <c r="B426" s="111" t="s">
        <v>5193</v>
      </c>
      <c r="C426" s="554" t="s">
        <v>5194</v>
      </c>
      <c r="D426" s="121" t="s">
        <v>5195</v>
      </c>
      <c r="E426" s="266" t="s">
        <v>5196</v>
      </c>
      <c r="F426" s="267">
        <v>2</v>
      </c>
      <c r="G426" s="268">
        <v>250</v>
      </c>
      <c r="H426" s="268">
        <v>27.33</v>
      </c>
      <c r="I426" s="274" t="s">
        <v>2665</v>
      </c>
      <c r="J426" s="113" t="s">
        <v>5197</v>
      </c>
      <c r="K426" s="266">
        <v>25.2</v>
      </c>
      <c r="L426" s="266" t="s">
        <v>2711</v>
      </c>
      <c r="M426" s="275" t="s">
        <v>5198</v>
      </c>
      <c r="N426" s="113" t="s">
        <v>66</v>
      </c>
      <c r="O426" s="113"/>
      <c r="P426" s="113"/>
      <c r="Q426" s="113">
        <v>29675.8333333333</v>
      </c>
      <c r="R426" s="113">
        <v>811040</v>
      </c>
      <c r="S426" s="280">
        <v>411040</v>
      </c>
      <c r="T426" s="281">
        <f t="shared" si="136"/>
        <v>400000</v>
      </c>
      <c r="U426" s="280"/>
      <c r="V426" s="280">
        <v>1776</v>
      </c>
      <c r="W426" s="280">
        <v>550</v>
      </c>
      <c r="X426" s="280"/>
      <c r="Y426" s="113"/>
      <c r="Z426" s="113"/>
      <c r="AA426" s="275"/>
      <c r="AB426" s="113" t="s">
        <v>5199</v>
      </c>
      <c r="AC426" s="113">
        <v>1260</v>
      </c>
      <c r="AD426" s="113"/>
      <c r="AE426" s="133"/>
      <c r="AF426" s="115" t="s">
        <v>237</v>
      </c>
      <c r="AG426" s="133" t="s">
        <v>160</v>
      </c>
      <c r="AH426" s="133"/>
      <c r="AI426" s="132">
        <f t="shared" ref="AI426:AI434" si="143">S426+U426+V426+W426+X426+AC426+AD426+AE426</f>
        <v>414626</v>
      </c>
      <c r="AJ426" s="132">
        <f t="shared" ref="AJ426:AJ434" si="144">S426+U426+V426+W426+X426</f>
        <v>413366</v>
      </c>
      <c r="AK426" s="133">
        <f t="shared" ref="AK426:AK434" si="145">AI426-AJ426</f>
        <v>1260</v>
      </c>
      <c r="AL426" s="132"/>
      <c r="AM426" s="133"/>
      <c r="AN426" s="246">
        <v>44841</v>
      </c>
      <c r="AO426" s="137"/>
      <c r="AP426" s="97"/>
      <c r="AQ426" s="97"/>
      <c r="AR426" s="97"/>
      <c r="AS426" s="97"/>
      <c r="AT426" s="97"/>
      <c r="AU426" s="97"/>
      <c r="AV426" s="97"/>
      <c r="AW426" s="97"/>
      <c r="AX426" s="97"/>
      <c r="AY426" s="97"/>
      <c r="AZ426" s="97"/>
      <c r="BA426" s="97"/>
      <c r="BB426" s="97"/>
      <c r="BC426" s="97"/>
      <c r="BD426" s="97"/>
      <c r="BE426" s="97"/>
    </row>
    <row r="427" s="115" customFormat="1" customHeight="1" spans="1:57">
      <c r="A427" s="115" t="s">
        <v>5200</v>
      </c>
      <c r="B427" s="111" t="s">
        <v>5201</v>
      </c>
      <c r="C427" s="554" t="s">
        <v>5202</v>
      </c>
      <c r="D427" s="121" t="s">
        <v>5203</v>
      </c>
      <c r="E427" s="266">
        <v>18530776051</v>
      </c>
      <c r="F427" s="267">
        <v>4</v>
      </c>
      <c r="G427" s="268">
        <v>4470</v>
      </c>
      <c r="H427" s="268">
        <v>21.84</v>
      </c>
      <c r="I427" s="274" t="s">
        <v>2657</v>
      </c>
      <c r="J427" s="113" t="s">
        <v>5204</v>
      </c>
      <c r="K427" s="266">
        <v>19.44</v>
      </c>
      <c r="L427" s="266" t="s">
        <v>5205</v>
      </c>
      <c r="M427" s="275" t="s">
        <v>5206</v>
      </c>
      <c r="N427" s="113" t="s">
        <v>66</v>
      </c>
      <c r="O427" s="113"/>
      <c r="P427" s="113"/>
      <c r="Q427" s="113">
        <v>26234.57</v>
      </c>
      <c r="R427" s="113">
        <v>510000</v>
      </c>
      <c r="S427" s="280">
        <v>260000</v>
      </c>
      <c r="T427" s="281">
        <f t="shared" si="136"/>
        <v>250000</v>
      </c>
      <c r="U427" s="280"/>
      <c r="V427" s="280"/>
      <c r="W427" s="280"/>
      <c r="X427" s="280"/>
      <c r="Y427" s="113"/>
      <c r="Z427" s="113"/>
      <c r="AA427" s="275" t="s">
        <v>5207</v>
      </c>
      <c r="AB427" s="113"/>
      <c r="AC427" s="113"/>
      <c r="AD427" s="113"/>
      <c r="AE427" s="133"/>
      <c r="AG427" s="133"/>
      <c r="AH427" s="133"/>
      <c r="AI427" s="132">
        <f t="shared" si="143"/>
        <v>260000</v>
      </c>
      <c r="AJ427" s="132">
        <f t="shared" si="144"/>
        <v>260000</v>
      </c>
      <c r="AK427" s="133">
        <f t="shared" si="145"/>
        <v>0</v>
      </c>
      <c r="AL427" s="132"/>
      <c r="AM427" s="133"/>
      <c r="AN427" s="246">
        <v>44841</v>
      </c>
      <c r="AO427" s="137"/>
      <c r="AP427" s="97"/>
      <c r="AQ427" s="97"/>
      <c r="AR427" s="97"/>
      <c r="AS427" s="97"/>
      <c r="AT427" s="97"/>
      <c r="AU427" s="97"/>
      <c r="AV427" s="97"/>
      <c r="AW427" s="97"/>
      <c r="AX427" s="97"/>
      <c r="AY427" s="97"/>
      <c r="AZ427" s="97"/>
      <c r="BA427" s="97"/>
      <c r="BB427" s="97"/>
      <c r="BC427" s="97"/>
      <c r="BD427" s="97"/>
      <c r="BE427" s="97"/>
    </row>
    <row r="428" s="115" customFormat="1" customHeight="1" spans="1:57">
      <c r="A428" s="115" t="s">
        <v>5208</v>
      </c>
      <c r="B428" s="111" t="s">
        <v>5209</v>
      </c>
      <c r="C428" s="111" t="s">
        <v>5210</v>
      </c>
      <c r="D428" s="121" t="s">
        <v>5211</v>
      </c>
      <c r="E428" s="266">
        <v>18637086772</v>
      </c>
      <c r="F428" s="267">
        <v>3</v>
      </c>
      <c r="G428" s="268">
        <v>3240</v>
      </c>
      <c r="H428" s="268">
        <v>20.61</v>
      </c>
      <c r="I428" s="274" t="s">
        <v>2657</v>
      </c>
      <c r="J428" s="113" t="s">
        <v>5212</v>
      </c>
      <c r="K428" s="266">
        <v>18.37</v>
      </c>
      <c r="L428" s="266" t="s">
        <v>5213</v>
      </c>
      <c r="M428" s="275" t="s">
        <v>2718</v>
      </c>
      <c r="N428" s="113" t="s">
        <v>66</v>
      </c>
      <c r="O428" s="113"/>
      <c r="P428" s="113"/>
      <c r="Q428" s="113">
        <v>31739.14</v>
      </c>
      <c r="R428" s="113">
        <v>583048</v>
      </c>
      <c r="S428" s="280">
        <v>293048</v>
      </c>
      <c r="T428" s="281">
        <f t="shared" si="136"/>
        <v>290000</v>
      </c>
      <c r="U428" s="280"/>
      <c r="V428" s="280"/>
      <c r="W428" s="280"/>
      <c r="X428" s="280"/>
      <c r="Y428" s="113"/>
      <c r="Z428" s="113"/>
      <c r="AA428" s="275"/>
      <c r="AB428" s="113"/>
      <c r="AC428" s="113"/>
      <c r="AD428" s="113"/>
      <c r="AE428" s="133"/>
      <c r="AG428" s="133"/>
      <c r="AH428" s="133"/>
      <c r="AI428" s="132">
        <f t="shared" si="143"/>
        <v>293048</v>
      </c>
      <c r="AJ428" s="132">
        <f t="shared" si="144"/>
        <v>293048</v>
      </c>
      <c r="AK428" s="133">
        <f t="shared" si="145"/>
        <v>0</v>
      </c>
      <c r="AL428" s="132"/>
      <c r="AM428" s="133"/>
      <c r="AN428" s="246">
        <v>44841</v>
      </c>
      <c r="AO428" s="137"/>
      <c r="AP428" s="97"/>
      <c r="AQ428" s="97"/>
      <c r="AR428" s="97"/>
      <c r="AS428" s="97"/>
      <c r="AT428" s="97"/>
      <c r="AU428" s="97"/>
      <c r="AV428" s="97"/>
      <c r="AW428" s="97"/>
      <c r="AX428" s="97"/>
      <c r="AY428" s="97"/>
      <c r="AZ428" s="97"/>
      <c r="BA428" s="97"/>
      <c r="BB428" s="97"/>
      <c r="BC428" s="97"/>
      <c r="BD428" s="97"/>
      <c r="BE428" s="97"/>
    </row>
    <row r="429" s="115" customFormat="1" customHeight="1" spans="1:57">
      <c r="A429" s="115" t="s">
        <v>5214</v>
      </c>
      <c r="B429" s="111" t="s">
        <v>5215</v>
      </c>
      <c r="C429" s="554" t="s">
        <v>5216</v>
      </c>
      <c r="D429" s="121" t="s">
        <v>5217</v>
      </c>
      <c r="E429" s="266">
        <v>18623866370</v>
      </c>
      <c r="F429" s="267">
        <v>4</v>
      </c>
      <c r="G429" s="268">
        <v>4459</v>
      </c>
      <c r="H429" s="268">
        <v>15.12</v>
      </c>
      <c r="I429" s="274" t="s">
        <v>2657</v>
      </c>
      <c r="J429" s="113" t="s">
        <v>5218</v>
      </c>
      <c r="K429" s="266">
        <v>10.46</v>
      </c>
      <c r="L429" s="266" t="s">
        <v>5219</v>
      </c>
      <c r="M429" s="275" t="s">
        <v>2718</v>
      </c>
      <c r="N429" s="113" t="s">
        <v>66</v>
      </c>
      <c r="O429" s="113"/>
      <c r="P429" s="113"/>
      <c r="Q429" s="113">
        <v>27153.35</v>
      </c>
      <c r="R429" s="113">
        <v>284024</v>
      </c>
      <c r="S429" s="280">
        <v>144024</v>
      </c>
      <c r="T429" s="281">
        <f t="shared" si="136"/>
        <v>140000</v>
      </c>
      <c r="U429" s="280"/>
      <c r="V429" s="280"/>
      <c r="W429" s="280"/>
      <c r="X429" s="280"/>
      <c r="Y429" s="113"/>
      <c r="Z429" s="113"/>
      <c r="AA429" s="275"/>
      <c r="AB429" s="113"/>
      <c r="AC429" s="113"/>
      <c r="AD429" s="113"/>
      <c r="AE429" s="133"/>
      <c r="AG429" s="133"/>
      <c r="AH429" s="133"/>
      <c r="AI429" s="132">
        <f t="shared" si="143"/>
        <v>144024</v>
      </c>
      <c r="AJ429" s="132">
        <f t="shared" si="144"/>
        <v>144024</v>
      </c>
      <c r="AK429" s="133">
        <f t="shared" si="145"/>
        <v>0</v>
      </c>
      <c r="AL429" s="132"/>
      <c r="AM429" s="133"/>
      <c r="AN429" s="246">
        <v>44841</v>
      </c>
      <c r="AO429" s="137"/>
      <c r="AP429" s="97"/>
      <c r="AQ429" s="97"/>
      <c r="AR429" s="97"/>
      <c r="AS429" s="97"/>
      <c r="AT429" s="97"/>
      <c r="AU429" s="97"/>
      <c r="AV429" s="97"/>
      <c r="AW429" s="97"/>
      <c r="AX429" s="97"/>
      <c r="AY429" s="97"/>
      <c r="AZ429" s="97"/>
      <c r="BA429" s="97"/>
      <c r="BB429" s="97"/>
      <c r="BC429" s="97"/>
      <c r="BD429" s="97"/>
      <c r="BE429" s="97"/>
    </row>
    <row r="430" s="115" customFormat="1" customHeight="1" spans="1:57">
      <c r="A430" s="115" t="s">
        <v>5220</v>
      </c>
      <c r="B430" s="111" t="s">
        <v>5221</v>
      </c>
      <c r="C430" s="554" t="s">
        <v>5222</v>
      </c>
      <c r="D430" s="121" t="s">
        <v>5223</v>
      </c>
      <c r="E430" s="266">
        <v>15136562178</v>
      </c>
      <c r="F430" s="267">
        <v>4</v>
      </c>
      <c r="G430" s="268">
        <v>4380</v>
      </c>
      <c r="H430" s="268">
        <v>19.04</v>
      </c>
      <c r="I430" s="274" t="s">
        <v>2657</v>
      </c>
      <c r="J430" s="113" t="s">
        <v>5224</v>
      </c>
      <c r="K430" s="266">
        <v>15.55</v>
      </c>
      <c r="L430" s="266" t="s">
        <v>4311</v>
      </c>
      <c r="M430" s="275" t="s">
        <v>3048</v>
      </c>
      <c r="N430" s="113" t="s">
        <v>66</v>
      </c>
      <c r="O430" s="113"/>
      <c r="P430" s="113"/>
      <c r="Q430" s="113">
        <v>26848.49</v>
      </c>
      <c r="R430" s="113">
        <v>417494</v>
      </c>
      <c r="S430" s="280">
        <v>217494</v>
      </c>
      <c r="T430" s="281">
        <f t="shared" si="136"/>
        <v>200000</v>
      </c>
      <c r="U430" s="280"/>
      <c r="V430" s="280"/>
      <c r="W430" s="280"/>
      <c r="X430" s="280"/>
      <c r="Y430" s="113"/>
      <c r="Z430" s="113"/>
      <c r="AA430" s="275"/>
      <c r="AB430" s="113"/>
      <c r="AC430" s="113"/>
      <c r="AD430" s="113"/>
      <c r="AE430" s="133"/>
      <c r="AG430" s="133"/>
      <c r="AH430" s="133"/>
      <c r="AI430" s="132">
        <f t="shared" si="143"/>
        <v>217494</v>
      </c>
      <c r="AJ430" s="132">
        <f t="shared" si="144"/>
        <v>217494</v>
      </c>
      <c r="AK430" s="133">
        <f t="shared" si="145"/>
        <v>0</v>
      </c>
      <c r="AL430" s="132"/>
      <c r="AM430" s="133"/>
      <c r="AN430" s="246">
        <v>44841</v>
      </c>
      <c r="AO430" s="137"/>
      <c r="AP430" s="97"/>
      <c r="AQ430" s="97"/>
      <c r="AR430" s="97"/>
      <c r="AS430" s="97"/>
      <c r="AT430" s="97"/>
      <c r="AU430" s="97"/>
      <c r="AV430" s="97"/>
      <c r="AW430" s="97"/>
      <c r="AX430" s="97"/>
      <c r="AY430" s="97"/>
      <c r="AZ430" s="97"/>
      <c r="BA430" s="97"/>
      <c r="BB430" s="97"/>
      <c r="BC430" s="97"/>
      <c r="BD430" s="97"/>
      <c r="BE430" s="97"/>
    </row>
    <row r="431" s="115" customFormat="1" customHeight="1" spans="1:57">
      <c r="A431" s="115" t="s">
        <v>5225</v>
      </c>
      <c r="B431" s="111" t="s">
        <v>5226</v>
      </c>
      <c r="C431" s="111" t="s">
        <v>5227</v>
      </c>
      <c r="D431" s="121" t="s">
        <v>5228</v>
      </c>
      <c r="E431" s="266">
        <v>13949132299</v>
      </c>
      <c r="F431" s="267">
        <v>3</v>
      </c>
      <c r="G431" s="268">
        <v>3625</v>
      </c>
      <c r="H431" s="268">
        <v>20.12</v>
      </c>
      <c r="I431" s="274" t="s">
        <v>2657</v>
      </c>
      <c r="J431" s="113" t="s">
        <v>5229</v>
      </c>
      <c r="K431" s="266">
        <v>19.82</v>
      </c>
      <c r="L431" s="266" t="s">
        <v>3073</v>
      </c>
      <c r="M431" s="275" t="s">
        <v>3231</v>
      </c>
      <c r="N431" s="113" t="s">
        <v>66</v>
      </c>
      <c r="O431" s="113"/>
      <c r="P431" s="113"/>
      <c r="Q431" s="113">
        <v>31468.06</v>
      </c>
      <c r="R431" s="113">
        <v>633137</v>
      </c>
      <c r="S431" s="280">
        <v>323137</v>
      </c>
      <c r="T431" s="281">
        <f t="shared" si="136"/>
        <v>310000</v>
      </c>
      <c r="U431" s="280"/>
      <c r="V431" s="280">
        <v>1307</v>
      </c>
      <c r="W431" s="280">
        <v>550</v>
      </c>
      <c r="X431" s="280"/>
      <c r="Y431" s="113"/>
      <c r="Z431" s="113"/>
      <c r="AA431" s="275"/>
      <c r="AB431" s="113"/>
      <c r="AC431" s="113">
        <v>1251</v>
      </c>
      <c r="AD431" s="113"/>
      <c r="AE431" s="133"/>
      <c r="AG431" s="133"/>
      <c r="AH431" s="133"/>
      <c r="AI431" s="132">
        <f t="shared" si="143"/>
        <v>326245</v>
      </c>
      <c r="AJ431" s="132">
        <f t="shared" si="144"/>
        <v>324994</v>
      </c>
      <c r="AK431" s="133">
        <f t="shared" si="145"/>
        <v>1251</v>
      </c>
      <c r="AL431" s="132"/>
      <c r="AM431" s="133"/>
      <c r="AN431" s="246">
        <v>44841</v>
      </c>
      <c r="AO431" s="137"/>
      <c r="AP431" s="97"/>
      <c r="AQ431" s="97"/>
      <c r="AR431" s="97"/>
      <c r="AS431" s="97"/>
      <c r="AT431" s="97"/>
      <c r="AU431" s="97"/>
      <c r="AV431" s="97"/>
      <c r="AW431" s="97"/>
      <c r="AX431" s="97"/>
      <c r="AY431" s="97"/>
      <c r="AZ431" s="97"/>
      <c r="BA431" s="97"/>
      <c r="BB431" s="97"/>
      <c r="BC431" s="97"/>
      <c r="BD431" s="97"/>
      <c r="BE431" s="97"/>
    </row>
    <row r="432" s="115" customFormat="1" customHeight="1" spans="1:57">
      <c r="A432" s="115" t="s">
        <v>5230</v>
      </c>
      <c r="B432" s="111" t="s">
        <v>5231</v>
      </c>
      <c r="C432" s="111" t="s">
        <v>5232</v>
      </c>
      <c r="D432" s="121" t="s">
        <v>5233</v>
      </c>
      <c r="E432" s="266">
        <v>15538327885</v>
      </c>
      <c r="F432" s="267">
        <v>3</v>
      </c>
      <c r="G432" s="268">
        <v>3827</v>
      </c>
      <c r="H432" s="268">
        <v>18.47</v>
      </c>
      <c r="I432" s="274" t="s">
        <v>2657</v>
      </c>
      <c r="J432" s="113" t="s">
        <v>5234</v>
      </c>
      <c r="K432" s="266">
        <v>18.02</v>
      </c>
      <c r="L432" s="266" t="s">
        <v>3042</v>
      </c>
      <c r="M432" s="275" t="s">
        <v>5235</v>
      </c>
      <c r="N432" s="113" t="s">
        <v>66</v>
      </c>
      <c r="O432" s="113"/>
      <c r="P432" s="113"/>
      <c r="Q432" s="113">
        <v>32410.1</v>
      </c>
      <c r="R432" s="113">
        <v>598615</v>
      </c>
      <c r="S432" s="280">
        <v>308615</v>
      </c>
      <c r="T432" s="281">
        <f t="shared" si="136"/>
        <v>290000</v>
      </c>
      <c r="U432" s="280"/>
      <c r="V432" s="280">
        <v>1200</v>
      </c>
      <c r="W432" s="280">
        <v>550</v>
      </c>
      <c r="X432" s="280"/>
      <c r="Y432" s="113"/>
      <c r="Z432" s="113"/>
      <c r="AA432" s="275" t="s">
        <v>5236</v>
      </c>
      <c r="AB432" s="113"/>
      <c r="AC432" s="113"/>
      <c r="AD432" s="113"/>
      <c r="AE432" s="133"/>
      <c r="AG432" s="133"/>
      <c r="AH432" s="133"/>
      <c r="AI432" s="132">
        <f t="shared" si="143"/>
        <v>310365</v>
      </c>
      <c r="AJ432" s="132">
        <f t="shared" si="144"/>
        <v>310365</v>
      </c>
      <c r="AK432" s="133">
        <f t="shared" si="145"/>
        <v>0</v>
      </c>
      <c r="AL432" s="132"/>
      <c r="AM432" s="133"/>
      <c r="AN432" s="246">
        <v>44841</v>
      </c>
      <c r="AO432" s="137"/>
      <c r="AP432" s="97"/>
      <c r="AQ432" s="97"/>
      <c r="AR432" s="97"/>
      <c r="AS432" s="97"/>
      <c r="AT432" s="97"/>
      <c r="AU432" s="97"/>
      <c r="AV432" s="97"/>
      <c r="AW432" s="97"/>
      <c r="AX432" s="97"/>
      <c r="AY432" s="97"/>
      <c r="AZ432" s="97"/>
      <c r="BA432" s="97"/>
      <c r="BB432" s="97"/>
      <c r="BC432" s="97"/>
      <c r="BD432" s="97"/>
      <c r="BE432" s="97"/>
    </row>
    <row r="433" s="115" customFormat="1" customHeight="1" spans="1:57">
      <c r="A433" s="115" t="s">
        <v>5237</v>
      </c>
      <c r="B433" s="111" t="s">
        <v>5238</v>
      </c>
      <c r="C433" s="111" t="s">
        <v>5239</v>
      </c>
      <c r="D433" s="121" t="s">
        <v>5240</v>
      </c>
      <c r="E433" s="266">
        <v>15939013987</v>
      </c>
      <c r="F433" s="267">
        <v>3</v>
      </c>
      <c r="G433" s="268">
        <v>3130</v>
      </c>
      <c r="H433" s="268">
        <v>24.88</v>
      </c>
      <c r="I433" s="274" t="s">
        <v>2657</v>
      </c>
      <c r="J433" s="113" t="s">
        <v>5241</v>
      </c>
      <c r="K433" s="266">
        <v>22.17</v>
      </c>
      <c r="L433" s="266" t="s">
        <v>2961</v>
      </c>
      <c r="M433" s="275" t="s">
        <v>3073</v>
      </c>
      <c r="N433" s="113" t="s">
        <v>66</v>
      </c>
      <c r="O433" s="113"/>
      <c r="P433" s="113"/>
      <c r="Q433" s="113">
        <v>31622.37</v>
      </c>
      <c r="R433" s="113">
        <v>701068</v>
      </c>
      <c r="S433" s="280">
        <v>351068</v>
      </c>
      <c r="T433" s="281">
        <f t="shared" si="136"/>
        <v>350000</v>
      </c>
      <c r="U433" s="280"/>
      <c r="V433" s="280"/>
      <c r="W433" s="280"/>
      <c r="X433" s="280"/>
      <c r="Y433" s="113"/>
      <c r="Z433" s="113"/>
      <c r="AA433" s="275"/>
      <c r="AB433" s="113"/>
      <c r="AC433" s="113"/>
      <c r="AD433" s="113"/>
      <c r="AE433" s="133"/>
      <c r="AG433" s="133"/>
      <c r="AH433" s="133"/>
      <c r="AI433" s="132">
        <f t="shared" si="143"/>
        <v>351068</v>
      </c>
      <c r="AJ433" s="132">
        <f t="shared" si="144"/>
        <v>351068</v>
      </c>
      <c r="AK433" s="133">
        <f t="shared" si="145"/>
        <v>0</v>
      </c>
      <c r="AL433" s="132"/>
      <c r="AM433" s="133"/>
      <c r="AN433" s="246">
        <v>44841</v>
      </c>
      <c r="AO433" s="137"/>
      <c r="AP433" s="97"/>
      <c r="AQ433" s="97"/>
      <c r="AR433" s="97"/>
      <c r="AS433" s="97"/>
      <c r="AT433" s="97"/>
      <c r="AU433" s="97"/>
      <c r="AV433" s="97"/>
      <c r="AW433" s="97"/>
      <c r="AX433" s="97"/>
      <c r="AY433" s="97"/>
      <c r="AZ433" s="97"/>
      <c r="BA433" s="97"/>
      <c r="BB433" s="97"/>
      <c r="BC433" s="97"/>
      <c r="BD433" s="97"/>
      <c r="BE433" s="97"/>
    </row>
    <row r="434" s="115" customFormat="1" customHeight="1" spans="1:57">
      <c r="A434" s="115" t="s">
        <v>5242</v>
      </c>
      <c r="B434" s="111" t="s">
        <v>5243</v>
      </c>
      <c r="C434" s="111" t="s">
        <v>5244</v>
      </c>
      <c r="D434" s="121" t="s">
        <v>5245</v>
      </c>
      <c r="E434" s="266">
        <v>15981896005</v>
      </c>
      <c r="F434" s="267">
        <v>3</v>
      </c>
      <c r="G434" s="268">
        <v>3986</v>
      </c>
      <c r="H434" s="268">
        <v>13.19</v>
      </c>
      <c r="I434" s="274" t="s">
        <v>2657</v>
      </c>
      <c r="J434" s="113" t="s">
        <v>5246</v>
      </c>
      <c r="K434" s="266">
        <v>12.17</v>
      </c>
      <c r="L434" s="266" t="s">
        <v>4382</v>
      </c>
      <c r="M434" s="275" t="s">
        <v>4382</v>
      </c>
      <c r="N434" s="113" t="s">
        <v>66</v>
      </c>
      <c r="O434" s="113"/>
      <c r="P434" s="113"/>
      <c r="Q434" s="113">
        <v>32556.61</v>
      </c>
      <c r="R434" s="113">
        <v>396214</v>
      </c>
      <c r="S434" s="280">
        <v>206214</v>
      </c>
      <c r="T434" s="281">
        <v>190000</v>
      </c>
      <c r="U434" s="280"/>
      <c r="V434" s="280"/>
      <c r="W434" s="280"/>
      <c r="X434" s="280"/>
      <c r="Y434" s="113"/>
      <c r="Z434" s="113"/>
      <c r="AA434" s="275"/>
      <c r="AB434" s="113"/>
      <c r="AC434" s="113"/>
      <c r="AD434" s="113"/>
      <c r="AE434" s="133"/>
      <c r="AG434" s="133"/>
      <c r="AH434" s="133"/>
      <c r="AI434" s="132">
        <f t="shared" si="143"/>
        <v>206214</v>
      </c>
      <c r="AJ434" s="132">
        <f t="shared" si="144"/>
        <v>206214</v>
      </c>
      <c r="AK434" s="133">
        <f t="shared" si="145"/>
        <v>0</v>
      </c>
      <c r="AL434" s="132"/>
      <c r="AM434" s="133" t="s">
        <v>854</v>
      </c>
      <c r="AN434" s="246">
        <v>44842</v>
      </c>
      <c r="AO434" s="137"/>
      <c r="AP434" s="97"/>
      <c r="AQ434" s="97"/>
      <c r="AR434" s="97"/>
      <c r="AS434" s="97"/>
      <c r="AT434" s="97"/>
      <c r="AU434" s="97"/>
      <c r="AV434" s="97"/>
      <c r="AW434" s="97"/>
      <c r="AX434" s="97"/>
      <c r="AY434" s="97"/>
      <c r="AZ434" s="97"/>
      <c r="BA434" s="97"/>
      <c r="BB434" s="97"/>
      <c r="BC434" s="97"/>
      <c r="BD434" s="97"/>
      <c r="BE434" s="97"/>
    </row>
    <row r="435" s="115" customFormat="1" customHeight="1" spans="1:57">
      <c r="A435" s="115" t="s">
        <v>5247</v>
      </c>
      <c r="B435" s="111" t="s">
        <v>5248</v>
      </c>
      <c r="C435" s="554" t="s">
        <v>5249</v>
      </c>
      <c r="D435" s="121" t="s">
        <v>5250</v>
      </c>
      <c r="E435" s="266">
        <v>15038196958</v>
      </c>
      <c r="F435" s="267">
        <v>3</v>
      </c>
      <c r="G435" s="268">
        <v>329</v>
      </c>
      <c r="H435" s="268">
        <v>14.42</v>
      </c>
      <c r="I435" s="274" t="s">
        <v>2665</v>
      </c>
      <c r="J435" s="113" t="s">
        <v>5251</v>
      </c>
      <c r="K435" s="266">
        <v>27.2</v>
      </c>
      <c r="L435" s="266" t="s">
        <v>2711</v>
      </c>
      <c r="M435" s="275" t="s">
        <v>2799</v>
      </c>
      <c r="N435" s="113" t="s">
        <v>66</v>
      </c>
      <c r="O435" s="113"/>
      <c r="P435" s="113"/>
      <c r="Q435" s="113">
        <v>23359.3014705882</v>
      </c>
      <c r="R435" s="113">
        <v>635373</v>
      </c>
      <c r="S435" s="280">
        <v>325373</v>
      </c>
      <c r="T435" s="281">
        <v>310000</v>
      </c>
      <c r="U435" s="280"/>
      <c r="V435" s="280"/>
      <c r="W435" s="280"/>
      <c r="X435" s="280"/>
      <c r="Y435" s="113"/>
      <c r="Z435" s="113"/>
      <c r="AA435" s="275"/>
      <c r="AB435" s="113"/>
      <c r="AC435" s="113"/>
      <c r="AD435" s="113"/>
      <c r="AE435" s="133"/>
      <c r="AG435" s="133"/>
      <c r="AH435" s="133"/>
      <c r="AI435" s="132">
        <f t="shared" ref="AI435:AI444" si="146">S435+U435+V435+W435+X435+AC435+AD435+AE435</f>
        <v>325373</v>
      </c>
      <c r="AJ435" s="132">
        <f t="shared" ref="AJ435:AJ444" si="147">S435+U435+V435+W435+X435</f>
        <v>325373</v>
      </c>
      <c r="AK435" s="133">
        <f t="shared" ref="AK435:AK444" si="148">AI435-AJ435</f>
        <v>0</v>
      </c>
      <c r="AL435" s="132"/>
      <c r="AM435" s="133" t="s">
        <v>854</v>
      </c>
      <c r="AN435" s="246">
        <v>44842</v>
      </c>
      <c r="AO435" s="137"/>
      <c r="AP435" s="97"/>
      <c r="AQ435" s="97"/>
      <c r="AR435" s="97"/>
      <c r="AS435" s="97"/>
      <c r="AT435" s="97"/>
      <c r="AU435" s="97"/>
      <c r="AV435" s="97"/>
      <c r="AW435" s="97"/>
      <c r="AX435" s="97"/>
      <c r="AY435" s="97"/>
      <c r="AZ435" s="97"/>
      <c r="BA435" s="97"/>
      <c r="BB435" s="97"/>
      <c r="BC435" s="97"/>
      <c r="BD435" s="97"/>
      <c r="BE435" s="97"/>
    </row>
    <row r="436" s="115" customFormat="1" customHeight="1" spans="1:57">
      <c r="A436" s="115" t="s">
        <v>5252</v>
      </c>
      <c r="B436" s="111" t="s">
        <v>5253</v>
      </c>
      <c r="C436" s="554" t="s">
        <v>5254</v>
      </c>
      <c r="D436" s="121" t="s">
        <v>5255</v>
      </c>
      <c r="E436" s="266">
        <v>13783598898</v>
      </c>
      <c r="F436" s="267">
        <v>4</v>
      </c>
      <c r="G436" s="268">
        <v>4115</v>
      </c>
      <c r="H436" s="268">
        <v>24.36</v>
      </c>
      <c r="I436" s="274" t="s">
        <v>2665</v>
      </c>
      <c r="J436" s="113" t="s">
        <v>5256</v>
      </c>
      <c r="K436" s="266">
        <v>32.1</v>
      </c>
      <c r="L436" s="266" t="s">
        <v>2711</v>
      </c>
      <c r="M436" s="275" t="s">
        <v>2799</v>
      </c>
      <c r="N436" s="113" t="s">
        <v>66</v>
      </c>
      <c r="O436" s="113"/>
      <c r="P436" s="113"/>
      <c r="Q436" s="113">
        <v>19879.2523364486</v>
      </c>
      <c r="R436" s="113">
        <v>638124</v>
      </c>
      <c r="S436" s="280">
        <v>328124</v>
      </c>
      <c r="T436" s="281">
        <v>310000</v>
      </c>
      <c r="U436" s="280"/>
      <c r="V436" s="280"/>
      <c r="W436" s="280"/>
      <c r="X436" s="280"/>
      <c r="Y436" s="113"/>
      <c r="Z436" s="113"/>
      <c r="AA436" s="275"/>
      <c r="AB436" s="113"/>
      <c r="AC436" s="113"/>
      <c r="AD436" s="113"/>
      <c r="AE436" s="133"/>
      <c r="AG436" s="133"/>
      <c r="AH436" s="133"/>
      <c r="AI436" s="132">
        <f t="shared" si="146"/>
        <v>328124</v>
      </c>
      <c r="AJ436" s="132">
        <f t="shared" si="147"/>
        <v>328124</v>
      </c>
      <c r="AK436" s="133">
        <f t="shared" si="148"/>
        <v>0</v>
      </c>
      <c r="AL436" s="132"/>
      <c r="AM436" s="133" t="s">
        <v>854</v>
      </c>
      <c r="AN436" s="246">
        <v>44842</v>
      </c>
      <c r="AO436" s="137"/>
      <c r="AP436" s="97"/>
      <c r="AQ436" s="97"/>
      <c r="AR436" s="97"/>
      <c r="AS436" s="97"/>
      <c r="AT436" s="97"/>
      <c r="AU436" s="97"/>
      <c r="AV436" s="97"/>
      <c r="AW436" s="97"/>
      <c r="AX436" s="97"/>
      <c r="AY436" s="97"/>
      <c r="AZ436" s="97"/>
      <c r="BA436" s="97"/>
      <c r="BB436" s="97"/>
      <c r="BC436" s="97"/>
      <c r="BD436" s="97"/>
      <c r="BE436" s="97"/>
    </row>
    <row r="437" s="115" customFormat="1" customHeight="1" spans="1:57">
      <c r="A437" s="115" t="s">
        <v>5257</v>
      </c>
      <c r="B437" s="111" t="s">
        <v>5258</v>
      </c>
      <c r="C437" s="554" t="s">
        <v>5259</v>
      </c>
      <c r="D437" s="121" t="s">
        <v>5260</v>
      </c>
      <c r="E437" s="266">
        <v>13633839010</v>
      </c>
      <c r="F437" s="267">
        <v>1</v>
      </c>
      <c r="G437" s="268">
        <v>1679</v>
      </c>
      <c r="H437" s="268">
        <v>14.73</v>
      </c>
      <c r="I437" s="274" t="s">
        <v>2657</v>
      </c>
      <c r="J437" s="113" t="s">
        <v>5261</v>
      </c>
      <c r="K437" s="266">
        <v>14.66</v>
      </c>
      <c r="L437" s="266" t="s">
        <v>4670</v>
      </c>
      <c r="M437" s="275" t="s">
        <v>5198</v>
      </c>
      <c r="N437" s="113" t="s">
        <v>56</v>
      </c>
      <c r="O437" s="113"/>
      <c r="P437" s="113"/>
      <c r="Q437" s="113">
        <v>46471.62</v>
      </c>
      <c r="R437" s="113">
        <v>684527</v>
      </c>
      <c r="S437" s="280">
        <v>684527</v>
      </c>
      <c r="T437" s="281">
        <v>0</v>
      </c>
      <c r="U437" s="280"/>
      <c r="V437" s="280">
        <v>957</v>
      </c>
      <c r="W437" s="280">
        <v>550</v>
      </c>
      <c r="X437" s="280"/>
      <c r="Y437" s="113" t="s">
        <v>2669</v>
      </c>
      <c r="Z437" s="113" t="s">
        <v>48</v>
      </c>
      <c r="AA437" s="275">
        <v>44050</v>
      </c>
      <c r="AB437" s="113"/>
      <c r="AC437" s="113"/>
      <c r="AD437" s="113"/>
      <c r="AE437" s="133"/>
      <c r="AG437" s="133"/>
      <c r="AH437" s="133"/>
      <c r="AI437" s="132">
        <f t="shared" si="146"/>
        <v>686034</v>
      </c>
      <c r="AJ437" s="132">
        <f t="shared" si="147"/>
        <v>686034</v>
      </c>
      <c r="AK437" s="133">
        <f t="shared" si="148"/>
        <v>0</v>
      </c>
      <c r="AL437" s="132"/>
      <c r="AM437" s="133" t="s">
        <v>854</v>
      </c>
      <c r="AN437" s="246">
        <v>44842</v>
      </c>
      <c r="AO437" s="137"/>
      <c r="AP437" s="97"/>
      <c r="AQ437" s="97"/>
      <c r="AR437" s="97"/>
      <c r="AS437" s="97"/>
      <c r="AT437" s="97"/>
      <c r="AU437" s="97"/>
      <c r="AV437" s="97"/>
      <c r="AW437" s="97"/>
      <c r="AX437" s="97"/>
      <c r="AY437" s="97"/>
      <c r="AZ437" s="97"/>
      <c r="BA437" s="97"/>
      <c r="BB437" s="97"/>
      <c r="BC437" s="97"/>
      <c r="BD437" s="97"/>
      <c r="BE437" s="97"/>
    </row>
    <row r="438" s="115" customFormat="1" customHeight="1" spans="1:57">
      <c r="A438" s="115" t="s">
        <v>5262</v>
      </c>
      <c r="B438" s="111" t="s">
        <v>5263</v>
      </c>
      <c r="C438" s="111" t="s">
        <v>5264</v>
      </c>
      <c r="D438" s="121" t="s">
        <v>5265</v>
      </c>
      <c r="E438" s="266">
        <v>15713691570</v>
      </c>
      <c r="F438" s="267">
        <v>3</v>
      </c>
      <c r="G438" s="268">
        <v>3572</v>
      </c>
      <c r="H438" s="268">
        <v>10.87</v>
      </c>
      <c r="I438" s="274" t="s">
        <v>2657</v>
      </c>
      <c r="J438" s="113" t="s">
        <v>5266</v>
      </c>
      <c r="K438" s="266">
        <v>18.99</v>
      </c>
      <c r="L438" s="266" t="s">
        <v>3073</v>
      </c>
      <c r="M438" s="275">
        <v>43977</v>
      </c>
      <c r="N438" s="113" t="s">
        <v>66</v>
      </c>
      <c r="O438" s="113"/>
      <c r="P438" s="113"/>
      <c r="Q438" s="113">
        <v>31120.24</v>
      </c>
      <c r="R438" s="113">
        <v>338277</v>
      </c>
      <c r="S438" s="280">
        <v>308277</v>
      </c>
      <c r="T438" s="281">
        <v>30000</v>
      </c>
      <c r="U438" s="280"/>
      <c r="V438" s="280">
        <v>706</v>
      </c>
      <c r="W438" s="280">
        <v>550</v>
      </c>
      <c r="X438" s="280"/>
      <c r="Y438" s="113" t="s">
        <v>2669</v>
      </c>
      <c r="Z438" s="113"/>
      <c r="AA438" s="275"/>
      <c r="AB438" s="113"/>
      <c r="AC438" s="113"/>
      <c r="AD438" s="113"/>
      <c r="AE438" s="133"/>
      <c r="AG438" s="133"/>
      <c r="AH438" s="133"/>
      <c r="AI438" s="132">
        <f t="shared" si="146"/>
        <v>309533</v>
      </c>
      <c r="AJ438" s="132">
        <f t="shared" si="147"/>
        <v>309533</v>
      </c>
      <c r="AK438" s="133">
        <f t="shared" si="148"/>
        <v>0</v>
      </c>
      <c r="AL438" s="132"/>
      <c r="AM438" s="133" t="s">
        <v>854</v>
      </c>
      <c r="AN438" s="246">
        <v>44842</v>
      </c>
      <c r="AO438" s="137"/>
      <c r="AP438" s="97"/>
      <c r="AQ438" s="97"/>
      <c r="AR438" s="97"/>
      <c r="AS438" s="97"/>
      <c r="AT438" s="97"/>
      <c r="AU438" s="97"/>
      <c r="AV438" s="97"/>
      <c r="AW438" s="97"/>
      <c r="AX438" s="97"/>
      <c r="AY438" s="97"/>
      <c r="AZ438" s="97"/>
      <c r="BA438" s="97"/>
      <c r="BB438" s="97"/>
      <c r="BC438" s="97"/>
      <c r="BD438" s="97"/>
      <c r="BE438" s="97"/>
    </row>
    <row r="439" s="115" customFormat="1" customHeight="1" spans="1:57">
      <c r="A439" s="115" t="s">
        <v>5267</v>
      </c>
      <c r="B439" s="111" t="s">
        <v>5268</v>
      </c>
      <c r="C439" s="111" t="s">
        <v>5269</v>
      </c>
      <c r="D439" s="121" t="s">
        <v>5270</v>
      </c>
      <c r="E439" s="266">
        <v>13838788188</v>
      </c>
      <c r="F439" s="267">
        <v>1</v>
      </c>
      <c r="G439" s="268">
        <v>1656</v>
      </c>
      <c r="H439" s="268">
        <v>25.31</v>
      </c>
      <c r="I439" s="274" t="s">
        <v>2657</v>
      </c>
      <c r="J439" s="113" t="s">
        <v>5271</v>
      </c>
      <c r="K439" s="266">
        <v>30.08</v>
      </c>
      <c r="L439" s="266" t="s">
        <v>5272</v>
      </c>
      <c r="M439" s="275" t="s">
        <v>5273</v>
      </c>
      <c r="N439" s="113" t="s">
        <v>66</v>
      </c>
      <c r="O439" s="113"/>
      <c r="P439" s="113"/>
      <c r="Q439" s="113">
        <v>48056.15</v>
      </c>
      <c r="R439" s="113">
        <v>1216301</v>
      </c>
      <c r="S439" s="280">
        <v>686301</v>
      </c>
      <c r="T439" s="281"/>
      <c r="U439" s="280">
        <v>530000</v>
      </c>
      <c r="V439" s="280">
        <v>1645</v>
      </c>
      <c r="W439" s="280">
        <v>550</v>
      </c>
      <c r="X439" s="280"/>
      <c r="Y439" s="113" t="s">
        <v>2669</v>
      </c>
      <c r="Z439" s="113" t="s">
        <v>48</v>
      </c>
      <c r="AA439" s="275">
        <v>44052</v>
      </c>
      <c r="AB439" s="113"/>
      <c r="AC439" s="113"/>
      <c r="AD439" s="113"/>
      <c r="AE439" s="133"/>
      <c r="AG439" s="133"/>
      <c r="AH439" s="133"/>
      <c r="AI439" s="132">
        <f t="shared" si="146"/>
        <v>1218496</v>
      </c>
      <c r="AJ439" s="132">
        <f t="shared" si="147"/>
        <v>1218496</v>
      </c>
      <c r="AK439" s="133">
        <f t="shared" si="148"/>
        <v>0</v>
      </c>
      <c r="AL439" s="132"/>
      <c r="AM439" s="133" t="s">
        <v>854</v>
      </c>
      <c r="AN439" s="246">
        <v>44842</v>
      </c>
      <c r="AO439" s="137"/>
      <c r="AP439" s="97"/>
      <c r="AQ439" s="97"/>
      <c r="AR439" s="97"/>
      <c r="AS439" s="97"/>
      <c r="AT439" s="97"/>
      <c r="AU439" s="97"/>
      <c r="AV439" s="97"/>
      <c r="AW439" s="97"/>
      <c r="AX439" s="97"/>
      <c r="AY439" s="97"/>
      <c r="AZ439" s="97"/>
      <c r="BA439" s="97"/>
      <c r="BB439" s="97"/>
      <c r="BC439" s="97"/>
      <c r="BD439" s="97"/>
      <c r="BE439" s="97"/>
    </row>
    <row r="440" s="115" customFormat="1" customHeight="1" spans="1:57">
      <c r="A440" s="115" t="s">
        <v>5274</v>
      </c>
      <c r="B440" s="111" t="s">
        <v>5268</v>
      </c>
      <c r="C440" s="111" t="s">
        <v>5269</v>
      </c>
      <c r="D440" s="121"/>
      <c r="E440" s="266">
        <v>13838788188</v>
      </c>
      <c r="F440" s="267">
        <v>1</v>
      </c>
      <c r="G440" s="268">
        <v>1559</v>
      </c>
      <c r="H440" s="268">
        <v>17.62</v>
      </c>
      <c r="I440" s="274" t="s">
        <v>2657</v>
      </c>
      <c r="J440" s="113" t="s">
        <v>5275</v>
      </c>
      <c r="K440" s="266">
        <v>16.13</v>
      </c>
      <c r="L440" s="266" t="s">
        <v>5276</v>
      </c>
      <c r="M440" s="275" t="s">
        <v>5273</v>
      </c>
      <c r="N440" s="113" t="s">
        <v>66</v>
      </c>
      <c r="O440" s="113"/>
      <c r="P440" s="113"/>
      <c r="Q440" s="113">
        <v>48753.58</v>
      </c>
      <c r="R440" s="113">
        <v>859038</v>
      </c>
      <c r="S440" s="280">
        <v>439038</v>
      </c>
      <c r="T440" s="281"/>
      <c r="U440" s="280">
        <v>420000</v>
      </c>
      <c r="V440" s="280">
        <v>1145</v>
      </c>
      <c r="W440" s="280">
        <v>550</v>
      </c>
      <c r="X440" s="280"/>
      <c r="Y440" s="113" t="s">
        <v>2669</v>
      </c>
      <c r="Z440" s="113" t="s">
        <v>48</v>
      </c>
      <c r="AA440" s="275">
        <v>44052</v>
      </c>
      <c r="AB440" s="113" t="s">
        <v>5277</v>
      </c>
      <c r="AC440" s="113"/>
      <c r="AD440" s="113"/>
      <c r="AE440" s="133"/>
      <c r="AG440" s="133"/>
      <c r="AH440" s="133"/>
      <c r="AI440" s="132">
        <f t="shared" si="146"/>
        <v>860733</v>
      </c>
      <c r="AJ440" s="132">
        <f t="shared" si="147"/>
        <v>860733</v>
      </c>
      <c r="AK440" s="133">
        <f t="shared" si="148"/>
        <v>0</v>
      </c>
      <c r="AL440" s="132"/>
      <c r="AM440" s="133" t="s">
        <v>854</v>
      </c>
      <c r="AN440" s="246">
        <v>44842</v>
      </c>
      <c r="AO440" s="137"/>
      <c r="AP440" s="97"/>
      <c r="AQ440" s="97"/>
      <c r="AR440" s="97"/>
      <c r="AS440" s="97"/>
      <c r="AT440" s="97"/>
      <c r="AU440" s="97"/>
      <c r="AV440" s="97"/>
      <c r="AW440" s="97"/>
      <c r="AX440" s="97"/>
      <c r="AY440" s="97"/>
      <c r="AZ440" s="97"/>
      <c r="BA440" s="97"/>
      <c r="BB440" s="97"/>
      <c r="BC440" s="97"/>
      <c r="BD440" s="97"/>
      <c r="BE440" s="97"/>
    </row>
    <row r="441" s="115" customFormat="1" customHeight="1" spans="1:57">
      <c r="A441" s="115" t="s">
        <v>5278</v>
      </c>
      <c r="B441" s="111" t="s">
        <v>5279</v>
      </c>
      <c r="C441" s="554" t="s">
        <v>5280</v>
      </c>
      <c r="D441" s="121" t="s">
        <v>5281</v>
      </c>
      <c r="E441" s="266">
        <v>15838045903</v>
      </c>
      <c r="F441" s="267">
        <v>1</v>
      </c>
      <c r="G441" s="268">
        <v>1742</v>
      </c>
      <c r="H441" s="268">
        <v>16.5</v>
      </c>
      <c r="I441" s="274" t="s">
        <v>2657</v>
      </c>
      <c r="J441" s="113" t="s">
        <v>5282</v>
      </c>
      <c r="K441" s="266">
        <v>18.47</v>
      </c>
      <c r="L441" s="266" t="s">
        <v>3835</v>
      </c>
      <c r="M441" s="275" t="s">
        <v>3933</v>
      </c>
      <c r="N441" s="113" t="s">
        <v>56</v>
      </c>
      <c r="O441" s="113"/>
      <c r="P441" s="113"/>
      <c r="Q441" s="113">
        <v>46992.42</v>
      </c>
      <c r="R441" s="113">
        <v>775375</v>
      </c>
      <c r="S441" s="280">
        <v>775375</v>
      </c>
      <c r="T441" s="281">
        <v>0</v>
      </c>
      <c r="U441" s="280"/>
      <c r="V441" s="280">
        <v>1072</v>
      </c>
      <c r="W441" s="280">
        <v>550</v>
      </c>
      <c r="X441" s="280">
        <v>90953</v>
      </c>
      <c r="Y441" s="113" t="s">
        <v>2669</v>
      </c>
      <c r="Z441" s="113" t="s">
        <v>48</v>
      </c>
      <c r="AA441" s="275">
        <v>44077</v>
      </c>
      <c r="AB441" s="113"/>
      <c r="AC441" s="113"/>
      <c r="AD441" s="113"/>
      <c r="AE441" s="133"/>
      <c r="AG441" s="133"/>
      <c r="AH441" s="133"/>
      <c r="AI441" s="132">
        <f t="shared" si="146"/>
        <v>867950</v>
      </c>
      <c r="AJ441" s="132">
        <f t="shared" si="147"/>
        <v>867950</v>
      </c>
      <c r="AK441" s="133">
        <f t="shared" si="148"/>
        <v>0</v>
      </c>
      <c r="AL441" s="132"/>
      <c r="AM441" s="133" t="s">
        <v>854</v>
      </c>
      <c r="AN441" s="246">
        <v>44842</v>
      </c>
      <c r="AO441" s="137"/>
      <c r="AP441" s="97"/>
      <c r="AQ441" s="97"/>
      <c r="AR441" s="97"/>
      <c r="AS441" s="97"/>
      <c r="AT441" s="97"/>
      <c r="AU441" s="97"/>
      <c r="AV441" s="97"/>
      <c r="AW441" s="97"/>
      <c r="AX441" s="97"/>
      <c r="AY441" s="97"/>
      <c r="AZ441" s="97"/>
      <c r="BA441" s="97"/>
      <c r="BB441" s="97"/>
      <c r="BC441" s="97"/>
      <c r="BD441" s="97"/>
      <c r="BE441" s="97"/>
    </row>
    <row r="442" s="115" customFormat="1" customHeight="1" spans="1:57">
      <c r="A442" s="115" t="s">
        <v>5283</v>
      </c>
      <c r="B442" s="111" t="s">
        <v>5284</v>
      </c>
      <c r="C442" s="554" t="s">
        <v>5285</v>
      </c>
      <c r="D442" s="121" t="s">
        <v>5286</v>
      </c>
      <c r="E442" s="266">
        <v>13703952350</v>
      </c>
      <c r="F442" s="267">
        <v>4</v>
      </c>
      <c r="G442" s="268">
        <v>4537</v>
      </c>
      <c r="H442" s="268">
        <v>11.36</v>
      </c>
      <c r="I442" s="274" t="s">
        <v>2657</v>
      </c>
      <c r="J442" s="113" t="s">
        <v>5287</v>
      </c>
      <c r="K442" s="266">
        <v>9.24</v>
      </c>
      <c r="L442" s="266" t="s">
        <v>3096</v>
      </c>
      <c r="M442" s="275" t="s">
        <v>2806</v>
      </c>
      <c r="N442" s="113" t="s">
        <v>66</v>
      </c>
      <c r="O442" s="113"/>
      <c r="P442" s="113"/>
      <c r="Q442" s="113">
        <v>26287.66</v>
      </c>
      <c r="R442" s="113">
        <v>242898</v>
      </c>
      <c r="S442" s="280">
        <v>122898</v>
      </c>
      <c r="T442" s="281">
        <f>R442-S442</f>
        <v>120000</v>
      </c>
      <c r="U442" s="280"/>
      <c r="V442" s="280"/>
      <c r="W442" s="280"/>
      <c r="X442" s="280"/>
      <c r="Y442" s="113" t="s">
        <v>2669</v>
      </c>
      <c r="Z442" s="113"/>
      <c r="AA442" s="275"/>
      <c r="AB442" s="113"/>
      <c r="AC442" s="113">
        <v>1234</v>
      </c>
      <c r="AD442" s="113"/>
      <c r="AE442" s="133"/>
      <c r="AG442" s="133"/>
      <c r="AH442" s="133"/>
      <c r="AI442" s="132">
        <f t="shared" si="146"/>
        <v>124132</v>
      </c>
      <c r="AJ442" s="132">
        <f t="shared" si="147"/>
        <v>122898</v>
      </c>
      <c r="AK442" s="133">
        <f t="shared" si="148"/>
        <v>1234</v>
      </c>
      <c r="AL442" s="132"/>
      <c r="AM442" s="133" t="s">
        <v>886</v>
      </c>
      <c r="AN442" s="246">
        <v>44842</v>
      </c>
      <c r="AO442" s="137"/>
      <c r="AP442" s="97"/>
      <c r="AQ442" s="97"/>
      <c r="AR442" s="97"/>
      <c r="AS442" s="97"/>
      <c r="AT442" s="97"/>
      <c r="AU442" s="97"/>
      <c r="AV442" s="97"/>
      <c r="AW442" s="97"/>
      <c r="AX442" s="97"/>
      <c r="AY442" s="97"/>
      <c r="AZ442" s="97"/>
      <c r="BA442" s="97"/>
      <c r="BB442" s="97"/>
      <c r="BC442" s="97"/>
      <c r="BD442" s="97"/>
      <c r="BE442" s="97"/>
    </row>
    <row r="443" s="115" customFormat="1" customHeight="1" spans="1:57">
      <c r="A443" s="115" t="s">
        <v>5288</v>
      </c>
      <c r="B443" s="111" t="s">
        <v>5289</v>
      </c>
      <c r="C443" s="111" t="s">
        <v>5290</v>
      </c>
      <c r="D443" s="121" t="s">
        <v>5291</v>
      </c>
      <c r="E443" s="266">
        <v>13703952350</v>
      </c>
      <c r="F443" s="267">
        <v>3</v>
      </c>
      <c r="G443" s="268">
        <v>3608</v>
      </c>
      <c r="H443" s="268">
        <v>15.87</v>
      </c>
      <c r="I443" s="274" t="s">
        <v>2657</v>
      </c>
      <c r="J443" s="113" t="s">
        <v>5292</v>
      </c>
      <c r="K443" s="266">
        <v>14.65</v>
      </c>
      <c r="L443" s="266" t="s">
        <v>2890</v>
      </c>
      <c r="M443" s="275" t="s">
        <v>2954</v>
      </c>
      <c r="N443" s="113" t="s">
        <v>66</v>
      </c>
      <c r="O443" s="113"/>
      <c r="P443" s="113"/>
      <c r="Q443" s="113">
        <v>31764.23</v>
      </c>
      <c r="R443" s="113">
        <v>465346</v>
      </c>
      <c r="S443" s="280">
        <v>235346</v>
      </c>
      <c r="T443" s="281">
        <f>R443-S443</f>
        <v>230000</v>
      </c>
      <c r="U443" s="280"/>
      <c r="V443" s="280"/>
      <c r="W443" s="280"/>
      <c r="X443" s="280"/>
      <c r="Y443" s="113" t="s">
        <v>2669</v>
      </c>
      <c r="Z443" s="113"/>
      <c r="AA443" s="275"/>
      <c r="AB443" s="113"/>
      <c r="AC443" s="113">
        <v>1245</v>
      </c>
      <c r="AD443" s="113"/>
      <c r="AE443" s="133"/>
      <c r="AG443" s="133"/>
      <c r="AH443" s="133"/>
      <c r="AI443" s="132">
        <f t="shared" si="146"/>
        <v>236591</v>
      </c>
      <c r="AJ443" s="132">
        <f t="shared" si="147"/>
        <v>235346</v>
      </c>
      <c r="AK443" s="133">
        <f t="shared" si="148"/>
        <v>1245</v>
      </c>
      <c r="AL443" s="132"/>
      <c r="AM443" s="133" t="s">
        <v>886</v>
      </c>
      <c r="AN443" s="246">
        <v>44842</v>
      </c>
      <c r="AO443" s="137"/>
      <c r="AP443" s="97"/>
      <c r="AQ443" s="97"/>
      <c r="AR443" s="97"/>
      <c r="AS443" s="97"/>
      <c r="AT443" s="97"/>
      <c r="AU443" s="97"/>
      <c r="AV443" s="97"/>
      <c r="AW443" s="97"/>
      <c r="AX443" s="97"/>
      <c r="AY443" s="97"/>
      <c r="AZ443" s="97"/>
      <c r="BA443" s="97"/>
      <c r="BB443" s="97"/>
      <c r="BC443" s="97"/>
      <c r="BD443" s="97"/>
      <c r="BE443" s="97"/>
    </row>
    <row r="444" s="115" customFormat="1" customHeight="1" spans="1:57">
      <c r="A444" s="115" t="s">
        <v>5293</v>
      </c>
      <c r="B444" s="111" t="s">
        <v>5294</v>
      </c>
      <c r="C444" s="111" t="s">
        <v>5295</v>
      </c>
      <c r="D444" s="121" t="s">
        <v>5296</v>
      </c>
      <c r="E444" s="266">
        <v>16639055666</v>
      </c>
      <c r="F444" s="267">
        <v>3</v>
      </c>
      <c r="G444" s="268">
        <v>3248</v>
      </c>
      <c r="H444" s="268">
        <v>15.43</v>
      </c>
      <c r="I444" s="274" t="s">
        <v>2657</v>
      </c>
      <c r="J444" s="113" t="s">
        <v>5297</v>
      </c>
      <c r="K444" s="266">
        <v>18.15</v>
      </c>
      <c r="L444" s="266" t="s">
        <v>3073</v>
      </c>
      <c r="M444" s="275" t="s">
        <v>2692</v>
      </c>
      <c r="N444" s="113" t="s">
        <v>66</v>
      </c>
      <c r="O444" s="113"/>
      <c r="P444" s="113"/>
      <c r="Q444" s="113">
        <v>31306.12</v>
      </c>
      <c r="R444" s="113">
        <v>568206</v>
      </c>
      <c r="S444" s="280">
        <v>288206</v>
      </c>
      <c r="T444" s="281">
        <f>R444-S444</f>
        <v>280000</v>
      </c>
      <c r="U444" s="280"/>
      <c r="V444" s="280"/>
      <c r="W444" s="280"/>
      <c r="X444" s="280"/>
      <c r="Y444" s="113"/>
      <c r="Z444" s="113"/>
      <c r="AA444" s="275"/>
      <c r="AB444" s="113"/>
      <c r="AC444" s="113"/>
      <c r="AD444" s="113"/>
      <c r="AE444" s="133"/>
      <c r="AG444" s="133"/>
      <c r="AH444" s="133"/>
      <c r="AI444" s="132">
        <f t="shared" si="146"/>
        <v>288206</v>
      </c>
      <c r="AJ444" s="132">
        <f t="shared" si="147"/>
        <v>288206</v>
      </c>
      <c r="AK444" s="133">
        <f t="shared" si="148"/>
        <v>0</v>
      </c>
      <c r="AL444" s="132"/>
      <c r="AM444" s="133" t="s">
        <v>886</v>
      </c>
      <c r="AN444" s="246">
        <v>44842</v>
      </c>
      <c r="AO444" s="137"/>
      <c r="AP444" s="97"/>
      <c r="AQ444" s="97"/>
      <c r="AR444" s="97"/>
      <c r="AS444" s="97"/>
      <c r="AT444" s="97"/>
      <c r="AU444" s="97"/>
      <c r="AV444" s="97"/>
      <c r="AW444" s="97"/>
      <c r="AX444" s="97"/>
      <c r="AY444" s="97"/>
      <c r="AZ444" s="97"/>
      <c r="BA444" s="97"/>
      <c r="BB444" s="97"/>
      <c r="BC444" s="97"/>
      <c r="BD444" s="97"/>
      <c r="BE444" s="97"/>
    </row>
    <row r="445" s="115" customFormat="1" customHeight="1" spans="1:57">
      <c r="A445" s="115" t="s">
        <v>5298</v>
      </c>
      <c r="B445" s="111" t="s">
        <v>5299</v>
      </c>
      <c r="C445" s="554" t="s">
        <v>5300</v>
      </c>
      <c r="D445" s="121" t="s">
        <v>5301</v>
      </c>
      <c r="E445" s="266">
        <v>17760776444</v>
      </c>
      <c r="F445" s="267">
        <v>1</v>
      </c>
      <c r="G445" s="268">
        <v>1668</v>
      </c>
      <c r="H445" s="268">
        <v>13.74</v>
      </c>
      <c r="I445" s="274" t="s">
        <v>2657</v>
      </c>
      <c r="J445" s="113" t="s">
        <v>5302</v>
      </c>
      <c r="K445" s="266">
        <v>12.1</v>
      </c>
      <c r="L445" s="266" t="s">
        <v>3686</v>
      </c>
      <c r="M445" s="275" t="s">
        <v>4289</v>
      </c>
      <c r="N445" s="113" t="s">
        <v>66</v>
      </c>
      <c r="O445" s="113"/>
      <c r="P445" s="113"/>
      <c r="Q445" s="113">
        <v>48373.07</v>
      </c>
      <c r="R445" s="113">
        <v>664646</v>
      </c>
      <c r="S445" s="280">
        <v>334646</v>
      </c>
      <c r="T445" s="281"/>
      <c r="U445" s="280">
        <v>330000</v>
      </c>
      <c r="V445" s="280">
        <v>893</v>
      </c>
      <c r="W445" s="280">
        <v>550</v>
      </c>
      <c r="X445" s="280"/>
      <c r="Y445" s="113" t="s">
        <v>2669</v>
      </c>
      <c r="Z445" s="113" t="s">
        <v>48</v>
      </c>
      <c r="AA445" s="275">
        <v>44052</v>
      </c>
      <c r="AB445" s="113"/>
      <c r="AC445" s="113"/>
      <c r="AD445" s="113"/>
      <c r="AE445" s="133"/>
      <c r="AG445" s="133"/>
      <c r="AH445" s="133"/>
      <c r="AI445" s="132">
        <f t="shared" ref="AI445:AI454" si="149">S445+U445+V445+W445+X445+AC445+AD445+AE445</f>
        <v>666089</v>
      </c>
      <c r="AJ445" s="132">
        <f t="shared" ref="AJ445:AJ454" si="150">S445+U445+V445+W445+X445</f>
        <v>666089</v>
      </c>
      <c r="AK445" s="133">
        <f t="shared" ref="AK445:AK454" si="151">AI445-AJ445</f>
        <v>0</v>
      </c>
      <c r="AL445" s="132"/>
      <c r="AM445" s="133" t="s">
        <v>886</v>
      </c>
      <c r="AN445" s="246">
        <v>44842</v>
      </c>
      <c r="AO445" s="137"/>
      <c r="AP445" s="97"/>
      <c r="AQ445" s="97"/>
      <c r="AR445" s="97"/>
      <c r="AS445" s="97"/>
      <c r="AT445" s="97"/>
      <c r="AU445" s="97"/>
      <c r="AV445" s="97"/>
      <c r="AW445" s="97"/>
      <c r="AX445" s="97"/>
      <c r="AY445" s="97"/>
      <c r="AZ445" s="97"/>
      <c r="BA445" s="97"/>
      <c r="BB445" s="97"/>
      <c r="BC445" s="97"/>
      <c r="BD445" s="97"/>
      <c r="BE445" s="97"/>
    </row>
    <row r="446" s="115" customFormat="1" customHeight="1" spans="1:57">
      <c r="A446" s="115" t="s">
        <v>5303</v>
      </c>
      <c r="B446" s="111" t="s">
        <v>5304</v>
      </c>
      <c r="C446" s="111" t="s">
        <v>5305</v>
      </c>
      <c r="D446" s="121" t="s">
        <v>5306</v>
      </c>
      <c r="E446" s="266">
        <v>15937067509</v>
      </c>
      <c r="F446" s="267">
        <v>3</v>
      </c>
      <c r="G446" s="268">
        <v>3985</v>
      </c>
      <c r="H446" s="268">
        <v>15.07</v>
      </c>
      <c r="I446" s="274" t="s">
        <v>2657</v>
      </c>
      <c r="J446" s="113" t="s">
        <v>5307</v>
      </c>
      <c r="K446" s="266">
        <v>13.6</v>
      </c>
      <c r="L446" s="266" t="s">
        <v>5308</v>
      </c>
      <c r="M446" s="275" t="s">
        <v>5205</v>
      </c>
      <c r="N446" s="113" t="s">
        <v>66</v>
      </c>
      <c r="O446" s="113"/>
      <c r="P446" s="113"/>
      <c r="Q446" s="113">
        <v>32393.75</v>
      </c>
      <c r="R446" s="113">
        <v>440555</v>
      </c>
      <c r="S446" s="280">
        <v>220555</v>
      </c>
      <c r="T446" s="281">
        <f>R446-S446</f>
        <v>220000</v>
      </c>
      <c r="U446" s="280"/>
      <c r="V446" s="280"/>
      <c r="W446" s="280"/>
      <c r="X446" s="280"/>
      <c r="Y446" s="113"/>
      <c r="Z446" s="113"/>
      <c r="AA446" s="275"/>
      <c r="AB446" s="113"/>
      <c r="AC446" s="113"/>
      <c r="AD446" s="113"/>
      <c r="AE446" s="133"/>
      <c r="AG446" s="133"/>
      <c r="AH446" s="133"/>
      <c r="AI446" s="132">
        <f t="shared" si="149"/>
        <v>220555</v>
      </c>
      <c r="AJ446" s="132">
        <f t="shared" si="150"/>
        <v>220555</v>
      </c>
      <c r="AK446" s="133">
        <f t="shared" si="151"/>
        <v>0</v>
      </c>
      <c r="AL446" s="132"/>
      <c r="AM446" s="133" t="s">
        <v>886</v>
      </c>
      <c r="AN446" s="246">
        <v>44842</v>
      </c>
      <c r="AO446" s="137"/>
      <c r="AP446" s="97"/>
      <c r="AQ446" s="97"/>
      <c r="AR446" s="97"/>
      <c r="AS446" s="97"/>
      <c r="AT446" s="97"/>
      <c r="AU446" s="97"/>
      <c r="AV446" s="97"/>
      <c r="AW446" s="97"/>
      <c r="AX446" s="97"/>
      <c r="AY446" s="97"/>
      <c r="AZ446" s="97"/>
      <c r="BA446" s="97"/>
      <c r="BB446" s="97"/>
      <c r="BC446" s="97"/>
      <c r="BD446" s="97"/>
      <c r="BE446" s="97"/>
    </row>
    <row r="447" s="115" customFormat="1" customHeight="1" spans="1:57">
      <c r="A447" s="115" t="s">
        <v>5309</v>
      </c>
      <c r="B447" s="111" t="s">
        <v>5310</v>
      </c>
      <c r="C447" s="554" t="s">
        <v>5311</v>
      </c>
      <c r="D447" s="121" t="s">
        <v>5312</v>
      </c>
      <c r="E447" s="266">
        <v>18638003580</v>
      </c>
      <c r="F447" s="267">
        <v>4</v>
      </c>
      <c r="G447" s="268">
        <v>4279</v>
      </c>
      <c r="H447" s="268">
        <v>16.61</v>
      </c>
      <c r="I447" s="274" t="s">
        <v>2657</v>
      </c>
      <c r="J447" s="113" t="s">
        <v>5313</v>
      </c>
      <c r="K447" s="266">
        <v>14.08</v>
      </c>
      <c r="L447" s="266" t="s">
        <v>2705</v>
      </c>
      <c r="M447" s="275" t="s">
        <v>3060</v>
      </c>
      <c r="N447" s="113" t="s">
        <v>66</v>
      </c>
      <c r="O447" s="113"/>
      <c r="P447" s="113"/>
      <c r="Q447" s="113">
        <v>25908.52</v>
      </c>
      <c r="R447" s="113">
        <v>364792</v>
      </c>
      <c r="S447" s="280">
        <v>184792</v>
      </c>
      <c r="T447" s="281">
        <f>R447-S447</f>
        <v>180000</v>
      </c>
      <c r="U447" s="280"/>
      <c r="V447" s="280"/>
      <c r="W447" s="280"/>
      <c r="X447" s="280"/>
      <c r="Y447" s="113"/>
      <c r="Z447" s="113"/>
      <c r="AA447" s="275"/>
      <c r="AB447" s="113"/>
      <c r="AC447" s="113"/>
      <c r="AD447" s="113"/>
      <c r="AE447" s="133"/>
      <c r="AG447" s="133"/>
      <c r="AH447" s="133"/>
      <c r="AI447" s="132">
        <f t="shared" si="149"/>
        <v>184792</v>
      </c>
      <c r="AJ447" s="132">
        <f t="shared" si="150"/>
        <v>184792</v>
      </c>
      <c r="AK447" s="133">
        <f t="shared" si="151"/>
        <v>0</v>
      </c>
      <c r="AL447" s="132"/>
      <c r="AM447" s="133" t="s">
        <v>886</v>
      </c>
      <c r="AN447" s="246">
        <v>44842</v>
      </c>
      <c r="AO447" s="137"/>
      <c r="AP447" s="97"/>
      <c r="AQ447" s="97"/>
      <c r="AR447" s="97"/>
      <c r="AS447" s="97"/>
      <c r="AT447" s="97"/>
      <c r="AU447" s="97"/>
      <c r="AV447" s="97"/>
      <c r="AW447" s="97"/>
      <c r="AX447" s="97"/>
      <c r="AY447" s="97"/>
      <c r="AZ447" s="97"/>
      <c r="BA447" s="97"/>
      <c r="BB447" s="97"/>
      <c r="BC447" s="97"/>
      <c r="BD447" s="97"/>
      <c r="BE447" s="97"/>
    </row>
    <row r="448" s="115" customFormat="1" customHeight="1" spans="1:57">
      <c r="A448" s="115" t="s">
        <v>5314</v>
      </c>
      <c r="B448" s="111" t="s">
        <v>5315</v>
      </c>
      <c r="C448" s="111" t="s">
        <v>5316</v>
      </c>
      <c r="D448" s="121" t="s">
        <v>5317</v>
      </c>
      <c r="E448" s="266">
        <v>15893748686</v>
      </c>
      <c r="F448" s="267">
        <v>3</v>
      </c>
      <c r="G448" s="268">
        <v>3407</v>
      </c>
      <c r="H448" s="268">
        <v>16.28</v>
      </c>
      <c r="I448" s="274" t="s">
        <v>2657</v>
      </c>
      <c r="J448" s="113" t="s">
        <v>5318</v>
      </c>
      <c r="K448" s="266">
        <v>15.84</v>
      </c>
      <c r="L448" s="266" t="s">
        <v>3538</v>
      </c>
      <c r="M448" s="275" t="s">
        <v>3211</v>
      </c>
      <c r="N448" s="113" t="s">
        <v>66</v>
      </c>
      <c r="O448" s="113"/>
      <c r="P448" s="113"/>
      <c r="Q448" s="113">
        <v>32470.27</v>
      </c>
      <c r="R448" s="113">
        <v>514329</v>
      </c>
      <c r="S448" s="280">
        <v>268616</v>
      </c>
      <c r="T448" s="281">
        <f>R448-S448</f>
        <v>245713</v>
      </c>
      <c r="U448" s="280"/>
      <c r="V448" s="280">
        <v>1058</v>
      </c>
      <c r="W448" s="280">
        <v>550</v>
      </c>
      <c r="X448" s="280"/>
      <c r="Y448" s="113" t="s">
        <v>2669</v>
      </c>
      <c r="Z448" s="113"/>
      <c r="AA448" s="275"/>
      <c r="AB448" s="113" t="s">
        <v>5319</v>
      </c>
      <c r="AC448" s="113"/>
      <c r="AD448" s="113"/>
      <c r="AE448" s="133">
        <v>5895</v>
      </c>
      <c r="AG448" s="133"/>
      <c r="AH448" s="133"/>
      <c r="AI448" s="132">
        <f t="shared" si="149"/>
        <v>276119</v>
      </c>
      <c r="AJ448" s="132">
        <f t="shared" si="150"/>
        <v>270224</v>
      </c>
      <c r="AK448" s="133">
        <f t="shared" si="151"/>
        <v>5895</v>
      </c>
      <c r="AL448" s="132" t="s">
        <v>5320</v>
      </c>
      <c r="AM448" s="133" t="s">
        <v>900</v>
      </c>
      <c r="AN448" s="246">
        <v>44842</v>
      </c>
      <c r="AO448" s="115" t="s">
        <v>4637</v>
      </c>
      <c r="AP448" s="97"/>
      <c r="AQ448" s="97"/>
      <c r="AR448" s="97"/>
      <c r="AS448" s="97"/>
      <c r="AT448" s="97"/>
      <c r="AU448" s="97"/>
      <c r="AV448" s="97"/>
      <c r="AW448" s="97"/>
      <c r="AX448" s="97"/>
      <c r="AY448" s="97"/>
      <c r="AZ448" s="97"/>
      <c r="BA448" s="97"/>
      <c r="BB448" s="97"/>
      <c r="BC448" s="97"/>
      <c r="BD448" s="97"/>
      <c r="BE448" s="97"/>
    </row>
    <row r="449" s="115" customFormat="1" customHeight="1" spans="1:57">
      <c r="A449" s="115" t="s">
        <v>5321</v>
      </c>
      <c r="B449" s="111" t="s">
        <v>5322</v>
      </c>
      <c r="C449" s="111" t="s">
        <v>5323</v>
      </c>
      <c r="D449" s="121" t="s">
        <v>5324</v>
      </c>
      <c r="E449" s="266">
        <v>15038151615</v>
      </c>
      <c r="F449" s="267">
        <v>3</v>
      </c>
      <c r="G449" s="268">
        <v>3845</v>
      </c>
      <c r="H449" s="268">
        <v>24.88</v>
      </c>
      <c r="I449" s="274" t="s">
        <v>2657</v>
      </c>
      <c r="J449" s="113" t="s">
        <v>5325</v>
      </c>
      <c r="K449" s="266">
        <v>20.09</v>
      </c>
      <c r="L449" s="266" t="s">
        <v>2747</v>
      </c>
      <c r="M449" s="275" t="s">
        <v>4202</v>
      </c>
      <c r="N449" s="113" t="s">
        <v>66</v>
      </c>
      <c r="O449" s="113"/>
      <c r="P449" s="113"/>
      <c r="Q449" s="113">
        <v>31856.65</v>
      </c>
      <c r="R449" s="113">
        <v>640000</v>
      </c>
      <c r="S449" s="280">
        <v>320000</v>
      </c>
      <c r="T449" s="281">
        <f>R449-S449</f>
        <v>320000</v>
      </c>
      <c r="U449" s="280"/>
      <c r="V449" s="280"/>
      <c r="W449" s="280"/>
      <c r="X449" s="280"/>
      <c r="Y449" s="113"/>
      <c r="Z449" s="113"/>
      <c r="AA449" s="275"/>
      <c r="AB449" s="113"/>
      <c r="AC449" s="113"/>
      <c r="AD449" s="113"/>
      <c r="AE449" s="133"/>
      <c r="AG449" s="133"/>
      <c r="AH449" s="133"/>
      <c r="AI449" s="132">
        <f t="shared" si="149"/>
        <v>320000</v>
      </c>
      <c r="AJ449" s="132">
        <f t="shared" si="150"/>
        <v>320000</v>
      </c>
      <c r="AK449" s="133">
        <f t="shared" si="151"/>
        <v>0</v>
      </c>
      <c r="AL449" s="132"/>
      <c r="AM449" s="133" t="s">
        <v>900</v>
      </c>
      <c r="AN449" s="246">
        <v>44842</v>
      </c>
      <c r="AO449" s="137"/>
      <c r="AP449" s="97"/>
      <c r="AQ449" s="97"/>
      <c r="AR449" s="97"/>
      <c r="AS449" s="97"/>
      <c r="AT449" s="97"/>
      <c r="AU449" s="97"/>
      <c r="AV449" s="97"/>
      <c r="AW449" s="97"/>
      <c r="AX449" s="97"/>
      <c r="AY449" s="97"/>
      <c r="AZ449" s="97"/>
      <c r="BA449" s="97"/>
      <c r="BB449" s="97"/>
      <c r="BC449" s="97"/>
      <c r="BD449" s="97"/>
      <c r="BE449" s="97"/>
    </row>
    <row r="450" s="115" customFormat="1" customHeight="1" spans="1:57">
      <c r="A450" s="115" t="s">
        <v>5326</v>
      </c>
      <c r="B450" s="111" t="s">
        <v>5327</v>
      </c>
      <c r="C450" s="111" t="s">
        <v>5328</v>
      </c>
      <c r="D450" s="121" t="s">
        <v>5329</v>
      </c>
      <c r="E450" s="266">
        <v>13503715821</v>
      </c>
      <c r="F450" s="267">
        <v>3</v>
      </c>
      <c r="G450" s="268">
        <v>3745</v>
      </c>
      <c r="H450" s="268">
        <v>16.72</v>
      </c>
      <c r="I450" s="274" t="s">
        <v>2657</v>
      </c>
      <c r="J450" s="113" t="s">
        <v>5330</v>
      </c>
      <c r="K450" s="266">
        <v>14.11</v>
      </c>
      <c r="L450" s="266" t="s">
        <v>2762</v>
      </c>
      <c r="M450" s="275" t="s">
        <v>2762</v>
      </c>
      <c r="N450" s="113" t="s">
        <v>66</v>
      </c>
      <c r="O450" s="113"/>
      <c r="P450" s="113"/>
      <c r="Q450" s="113">
        <v>32199.36</v>
      </c>
      <c r="R450" s="113">
        <v>454333</v>
      </c>
      <c r="S450" s="280">
        <v>234333</v>
      </c>
      <c r="T450" s="281">
        <f>R450-S450</f>
        <v>220000</v>
      </c>
      <c r="U450" s="280"/>
      <c r="V450" s="280"/>
      <c r="W450" s="280"/>
      <c r="X450" s="280"/>
      <c r="Y450" s="113"/>
      <c r="Z450" s="113"/>
      <c r="AA450" s="275"/>
      <c r="AB450" s="113"/>
      <c r="AC450" s="113"/>
      <c r="AD450" s="113"/>
      <c r="AE450" s="133"/>
      <c r="AG450" s="133"/>
      <c r="AH450" s="133"/>
      <c r="AI450" s="132">
        <f t="shared" si="149"/>
        <v>234333</v>
      </c>
      <c r="AJ450" s="132">
        <f t="shared" si="150"/>
        <v>234333</v>
      </c>
      <c r="AK450" s="133">
        <f t="shared" si="151"/>
        <v>0</v>
      </c>
      <c r="AL450" s="132"/>
      <c r="AM450" s="133" t="s">
        <v>900</v>
      </c>
      <c r="AN450" s="246">
        <v>44842</v>
      </c>
      <c r="AO450" s="137"/>
      <c r="AP450" s="97"/>
      <c r="AQ450" s="97"/>
      <c r="AR450" s="97"/>
      <c r="AS450" s="97"/>
      <c r="AT450" s="97"/>
      <c r="AU450" s="97"/>
      <c r="AV450" s="97"/>
      <c r="AW450" s="97"/>
      <c r="AX450" s="97"/>
      <c r="AY450" s="97"/>
      <c r="AZ450" s="97"/>
      <c r="BA450" s="97"/>
      <c r="BB450" s="97"/>
      <c r="BC450" s="97"/>
      <c r="BD450" s="97"/>
      <c r="BE450" s="97"/>
    </row>
    <row r="451" s="115" customFormat="1" customHeight="1" spans="1:57">
      <c r="A451" s="115" t="s">
        <v>5331</v>
      </c>
      <c r="B451" s="111" t="s">
        <v>5332</v>
      </c>
      <c r="C451" s="111" t="s">
        <v>5333</v>
      </c>
      <c r="D451" s="121" t="s">
        <v>5334</v>
      </c>
      <c r="E451" s="266">
        <v>18203606267</v>
      </c>
      <c r="F451" s="267">
        <v>3</v>
      </c>
      <c r="G451" s="268">
        <v>3950</v>
      </c>
      <c r="H451" s="268">
        <v>14.6</v>
      </c>
      <c r="I451" s="274" t="s">
        <v>2657</v>
      </c>
      <c r="J451" s="113" t="s">
        <v>5335</v>
      </c>
      <c r="K451" s="266">
        <v>14.57</v>
      </c>
      <c r="L451" s="266" t="s">
        <v>2960</v>
      </c>
      <c r="M451" s="275" t="s">
        <v>5185</v>
      </c>
      <c r="N451" s="113" t="s">
        <v>66</v>
      </c>
      <c r="O451" s="113"/>
      <c r="P451" s="113"/>
      <c r="Q451" s="113">
        <v>31571.72</v>
      </c>
      <c r="R451" s="113">
        <v>460947</v>
      </c>
      <c r="S451" s="280">
        <v>230947</v>
      </c>
      <c r="T451" s="281"/>
      <c r="U451" s="280">
        <v>230000</v>
      </c>
      <c r="V451" s="280">
        <v>949</v>
      </c>
      <c r="W451" s="280">
        <v>560</v>
      </c>
      <c r="X451" s="280"/>
      <c r="Y451" s="113" t="s">
        <v>2669</v>
      </c>
      <c r="Z451" s="113" t="s">
        <v>48</v>
      </c>
      <c r="AA451" s="275">
        <v>44026</v>
      </c>
      <c r="AB451" s="113"/>
      <c r="AC451" s="113"/>
      <c r="AD451" s="113"/>
      <c r="AE451" s="133"/>
      <c r="AG451" s="133"/>
      <c r="AH451" s="133"/>
      <c r="AI451" s="132">
        <f t="shared" si="149"/>
        <v>462456</v>
      </c>
      <c r="AJ451" s="132">
        <f t="shared" si="150"/>
        <v>462456</v>
      </c>
      <c r="AK451" s="133">
        <f t="shared" si="151"/>
        <v>0</v>
      </c>
      <c r="AL451" s="132"/>
      <c r="AM451" s="133" t="s">
        <v>886</v>
      </c>
      <c r="AN451" s="246">
        <v>44842</v>
      </c>
      <c r="AO451" s="137"/>
      <c r="AP451" s="97"/>
      <c r="AQ451" s="97"/>
      <c r="AR451" s="97"/>
      <c r="AS451" s="97"/>
      <c r="AT451" s="97"/>
      <c r="AU451" s="97"/>
      <c r="AV451" s="97"/>
      <c r="AW451" s="97"/>
      <c r="AX451" s="97"/>
      <c r="AY451" s="97"/>
      <c r="AZ451" s="97"/>
      <c r="BA451" s="97"/>
      <c r="BB451" s="97"/>
      <c r="BC451" s="97"/>
      <c r="BD451" s="97"/>
      <c r="BE451" s="97"/>
    </row>
    <row r="452" s="115" customFormat="1" customHeight="1" spans="1:57">
      <c r="A452" s="115" t="s">
        <v>5336</v>
      </c>
      <c r="B452" s="111" t="s">
        <v>5337</v>
      </c>
      <c r="C452" s="111" t="s">
        <v>5338</v>
      </c>
      <c r="D452" s="121" t="s">
        <v>5339</v>
      </c>
      <c r="E452" s="266">
        <v>15093356941</v>
      </c>
      <c r="F452" s="267">
        <v>3</v>
      </c>
      <c r="G452" s="268">
        <v>3416</v>
      </c>
      <c r="H452" s="268">
        <v>21.79</v>
      </c>
      <c r="I452" s="274" t="s">
        <v>2657</v>
      </c>
      <c r="J452" s="113" t="s">
        <v>5340</v>
      </c>
      <c r="K452" s="266">
        <v>17.8</v>
      </c>
      <c r="L452" s="266" t="s">
        <v>4175</v>
      </c>
      <c r="M452" s="275" t="s">
        <v>3042</v>
      </c>
      <c r="N452" s="113" t="s">
        <v>66</v>
      </c>
      <c r="O452" s="113"/>
      <c r="P452" s="113"/>
      <c r="Q452" s="113">
        <v>31770.11</v>
      </c>
      <c r="R452" s="113">
        <v>565508</v>
      </c>
      <c r="S452" s="280">
        <v>285508</v>
      </c>
      <c r="T452" s="281">
        <f t="shared" ref="T452:T459" si="152">R452-S452</f>
        <v>280000</v>
      </c>
      <c r="U452" s="280"/>
      <c r="V452" s="280"/>
      <c r="W452" s="280"/>
      <c r="X452" s="280"/>
      <c r="Y452" s="113"/>
      <c r="Z452" s="113"/>
      <c r="AA452" s="275"/>
      <c r="AB452" s="113"/>
      <c r="AC452" s="113"/>
      <c r="AD452" s="113"/>
      <c r="AE452" s="133"/>
      <c r="AG452" s="133"/>
      <c r="AH452" s="133"/>
      <c r="AI452" s="132">
        <f t="shared" si="149"/>
        <v>285508</v>
      </c>
      <c r="AJ452" s="132">
        <f t="shared" si="150"/>
        <v>285508</v>
      </c>
      <c r="AK452" s="133">
        <f t="shared" si="151"/>
        <v>0</v>
      </c>
      <c r="AL452" s="132"/>
      <c r="AM452" s="133" t="s">
        <v>886</v>
      </c>
      <c r="AN452" s="246">
        <v>44842</v>
      </c>
      <c r="AO452" s="137"/>
      <c r="AP452" s="97"/>
      <c r="AQ452" s="97"/>
      <c r="AR452" s="97"/>
      <c r="AS452" s="97"/>
      <c r="AT452" s="97"/>
      <c r="AU452" s="97"/>
      <c r="AV452" s="97"/>
      <c r="AW452" s="97"/>
      <c r="AX452" s="97"/>
      <c r="AY452" s="97"/>
      <c r="AZ452" s="97"/>
      <c r="BA452" s="97"/>
      <c r="BB452" s="97"/>
      <c r="BC452" s="97"/>
      <c r="BD452" s="97"/>
      <c r="BE452" s="97"/>
    </row>
    <row r="453" s="115" customFormat="1" customHeight="1" spans="1:57">
      <c r="A453" s="115" t="s">
        <v>5341</v>
      </c>
      <c r="B453" s="111" t="s">
        <v>5342</v>
      </c>
      <c r="C453" s="111" t="s">
        <v>5343</v>
      </c>
      <c r="D453" s="121" t="s">
        <v>5245</v>
      </c>
      <c r="E453" s="266">
        <v>15378731660</v>
      </c>
      <c r="F453" s="267">
        <v>3</v>
      </c>
      <c r="G453" s="268">
        <v>3942</v>
      </c>
      <c r="H453" s="268">
        <v>14.37</v>
      </c>
      <c r="I453" s="274" t="s">
        <v>2657</v>
      </c>
      <c r="J453" s="113" t="s">
        <v>5344</v>
      </c>
      <c r="K453" s="266">
        <v>12.31</v>
      </c>
      <c r="L453" s="266" t="s">
        <v>4382</v>
      </c>
      <c r="M453" s="275" t="s">
        <v>4382</v>
      </c>
      <c r="N453" s="113" t="s">
        <v>66</v>
      </c>
      <c r="O453" s="113"/>
      <c r="P453" s="113"/>
      <c r="Q453" s="113">
        <v>32558.57</v>
      </c>
      <c r="R453" s="113">
        <v>400796</v>
      </c>
      <c r="S453" s="280">
        <v>200796</v>
      </c>
      <c r="T453" s="281">
        <f t="shared" si="152"/>
        <v>200000</v>
      </c>
      <c r="U453" s="280"/>
      <c r="V453" s="280"/>
      <c r="W453" s="280"/>
      <c r="X453" s="280"/>
      <c r="Y453" s="113"/>
      <c r="Z453" s="113"/>
      <c r="AA453" s="275"/>
      <c r="AB453" s="113"/>
      <c r="AC453" s="113"/>
      <c r="AD453" s="113"/>
      <c r="AE453" s="133"/>
      <c r="AG453" s="133"/>
      <c r="AH453" s="133"/>
      <c r="AI453" s="132">
        <f t="shared" si="149"/>
        <v>200796</v>
      </c>
      <c r="AJ453" s="132">
        <f t="shared" si="150"/>
        <v>200796</v>
      </c>
      <c r="AK453" s="133">
        <f t="shared" si="151"/>
        <v>0</v>
      </c>
      <c r="AL453" s="132"/>
      <c r="AM453" s="133" t="s">
        <v>886</v>
      </c>
      <c r="AN453" s="246">
        <v>44842</v>
      </c>
      <c r="AO453" s="137"/>
      <c r="AP453" s="97"/>
      <c r="AQ453" s="97"/>
      <c r="AR453" s="97"/>
      <c r="AS453" s="97"/>
      <c r="AT453" s="97"/>
      <c r="AU453" s="97"/>
      <c r="AV453" s="97"/>
      <c r="AW453" s="97"/>
      <c r="AX453" s="97"/>
      <c r="AY453" s="97"/>
      <c r="AZ453" s="97"/>
      <c r="BA453" s="97"/>
      <c r="BB453" s="97"/>
      <c r="BC453" s="97"/>
      <c r="BD453" s="97"/>
      <c r="BE453" s="97"/>
    </row>
    <row r="454" s="115" customFormat="1" customHeight="1" spans="1:57">
      <c r="A454" s="115" t="s">
        <v>5345</v>
      </c>
      <c r="B454" s="111" t="s">
        <v>5346</v>
      </c>
      <c r="C454" s="554" t="s">
        <v>5347</v>
      </c>
      <c r="D454" s="121" t="s">
        <v>5348</v>
      </c>
      <c r="E454" s="266">
        <v>13653863002</v>
      </c>
      <c r="F454" s="267">
        <v>4</v>
      </c>
      <c r="G454" s="268">
        <v>4326</v>
      </c>
      <c r="H454" s="268">
        <v>40.99</v>
      </c>
      <c r="I454" s="274" t="s">
        <v>2657</v>
      </c>
      <c r="J454" s="113" t="s">
        <v>5349</v>
      </c>
      <c r="K454" s="266">
        <v>37.5</v>
      </c>
      <c r="L454" s="266" t="s">
        <v>2891</v>
      </c>
      <c r="M454" s="275" t="s">
        <v>5350</v>
      </c>
      <c r="N454" s="113" t="s">
        <v>56</v>
      </c>
      <c r="O454" s="113"/>
      <c r="P454" s="113"/>
      <c r="Q454" s="113">
        <v>25587.63</v>
      </c>
      <c r="R454" s="113">
        <v>1048837</v>
      </c>
      <c r="S454" s="280">
        <v>1048837</v>
      </c>
      <c r="T454" s="281">
        <f t="shared" si="152"/>
        <v>0</v>
      </c>
      <c r="U454" s="280"/>
      <c r="V454" s="280">
        <v>2664</v>
      </c>
      <c r="W454" s="280">
        <v>550</v>
      </c>
      <c r="X454" s="280"/>
      <c r="Y454" s="113" t="s">
        <v>2669</v>
      </c>
      <c r="Z454" s="113"/>
      <c r="AA454" s="275"/>
      <c r="AB454" s="113"/>
      <c r="AC454" s="113"/>
      <c r="AD454" s="113"/>
      <c r="AE454" s="133"/>
      <c r="AG454" s="133"/>
      <c r="AH454" s="133"/>
      <c r="AI454" s="132">
        <f t="shared" si="149"/>
        <v>1052051</v>
      </c>
      <c r="AJ454" s="132">
        <f t="shared" si="150"/>
        <v>1052051</v>
      </c>
      <c r="AK454" s="133">
        <f t="shared" si="151"/>
        <v>0</v>
      </c>
      <c r="AL454" s="132"/>
      <c r="AM454" s="133" t="s">
        <v>900</v>
      </c>
      <c r="AN454" s="246">
        <v>44842</v>
      </c>
      <c r="AO454" s="137"/>
      <c r="AP454" s="97"/>
      <c r="AQ454" s="97"/>
      <c r="AR454" s="97"/>
      <c r="AS454" s="97"/>
      <c r="AT454" s="97"/>
      <c r="AU454" s="97"/>
      <c r="AV454" s="97"/>
      <c r="AW454" s="97"/>
      <c r="AX454" s="97"/>
      <c r="AY454" s="97"/>
      <c r="AZ454" s="97"/>
      <c r="BA454" s="97"/>
      <c r="BB454" s="97"/>
      <c r="BC454" s="97"/>
      <c r="BD454" s="97"/>
      <c r="BE454" s="97"/>
    </row>
    <row r="455" s="115" customFormat="1" customHeight="1" spans="1:57">
      <c r="A455" s="115" t="s">
        <v>5351</v>
      </c>
      <c r="B455" s="111" t="s">
        <v>5352</v>
      </c>
      <c r="C455" s="554" t="s">
        <v>5353</v>
      </c>
      <c r="D455" s="121" t="s">
        <v>5354</v>
      </c>
      <c r="E455" s="266">
        <v>13253362978</v>
      </c>
      <c r="F455" s="267">
        <v>2</v>
      </c>
      <c r="G455" s="268">
        <v>265</v>
      </c>
      <c r="H455" s="268">
        <v>26.23</v>
      </c>
      <c r="I455" s="274" t="s">
        <v>2665</v>
      </c>
      <c r="J455" s="113" t="s">
        <v>5355</v>
      </c>
      <c r="K455" s="266">
        <v>28</v>
      </c>
      <c r="L455" s="266" t="s">
        <v>2793</v>
      </c>
      <c r="M455" s="275" t="s">
        <v>2684</v>
      </c>
      <c r="N455" s="113" t="s">
        <v>66</v>
      </c>
      <c r="O455" s="113"/>
      <c r="P455" s="113"/>
      <c r="Q455" s="113">
        <v>29551.4642857143</v>
      </c>
      <c r="R455" s="113">
        <v>827441</v>
      </c>
      <c r="S455" s="280">
        <v>417441</v>
      </c>
      <c r="T455" s="281">
        <f t="shared" si="152"/>
        <v>410000</v>
      </c>
      <c r="U455" s="280"/>
      <c r="V455" s="280"/>
      <c r="W455" s="280"/>
      <c r="X455" s="280"/>
      <c r="Y455" s="113"/>
      <c r="Z455" s="113"/>
      <c r="AA455" s="275"/>
      <c r="AB455" s="113"/>
      <c r="AC455" s="113"/>
      <c r="AD455" s="113"/>
      <c r="AE455" s="133"/>
      <c r="AG455" s="133"/>
      <c r="AH455" s="133"/>
      <c r="AI455" s="132">
        <f t="shared" ref="AI455:AI466" si="153">S455+U455+V455+W455+X455+AC455+AD455+AE455</f>
        <v>417441</v>
      </c>
      <c r="AJ455" s="132">
        <f t="shared" ref="AJ455:AJ466" si="154">S455+U455+V455+W455+X455</f>
        <v>417441</v>
      </c>
      <c r="AK455" s="133">
        <f t="shared" ref="AK455:AK466" si="155">AI455-AJ455</f>
        <v>0</v>
      </c>
      <c r="AL455" s="132"/>
      <c r="AM455" s="133" t="s">
        <v>900</v>
      </c>
      <c r="AN455" s="246">
        <v>44842</v>
      </c>
      <c r="AO455" s="137"/>
      <c r="AP455" s="97"/>
      <c r="AQ455" s="97"/>
      <c r="AR455" s="97"/>
      <c r="AS455" s="97"/>
      <c r="AT455" s="97"/>
      <c r="AU455" s="97"/>
      <c r="AV455" s="97"/>
      <c r="AW455" s="97"/>
      <c r="AX455" s="97"/>
      <c r="AY455" s="97"/>
      <c r="AZ455" s="97"/>
      <c r="BA455" s="97"/>
      <c r="BB455" s="97"/>
      <c r="BC455" s="97"/>
      <c r="BD455" s="97"/>
      <c r="BE455" s="97"/>
    </row>
    <row r="456" s="115" customFormat="1" customHeight="1" spans="1:57">
      <c r="A456" s="115" t="s">
        <v>5356</v>
      </c>
      <c r="B456" s="111" t="s">
        <v>5357</v>
      </c>
      <c r="C456" s="111" t="s">
        <v>5358</v>
      </c>
      <c r="D456" s="121" t="s">
        <v>5359</v>
      </c>
      <c r="E456" s="266">
        <v>13569478628</v>
      </c>
      <c r="F456" s="267">
        <v>3</v>
      </c>
      <c r="G456" s="268">
        <v>3844</v>
      </c>
      <c r="H456" s="268">
        <v>13.34</v>
      </c>
      <c r="I456" s="274" t="s">
        <v>2657</v>
      </c>
      <c r="J456" s="113" t="s">
        <v>5360</v>
      </c>
      <c r="K456" s="266">
        <v>11.66</v>
      </c>
      <c r="L456" s="266" t="s">
        <v>4139</v>
      </c>
      <c r="M456" s="275" t="s">
        <v>5361</v>
      </c>
      <c r="N456" s="113" t="s">
        <v>66</v>
      </c>
      <c r="O456" s="113"/>
      <c r="P456" s="113"/>
      <c r="Q456" s="113">
        <v>32893.14</v>
      </c>
      <c r="R456" s="113">
        <v>383534</v>
      </c>
      <c r="S456" s="280">
        <v>193534</v>
      </c>
      <c r="T456" s="281">
        <f t="shared" si="152"/>
        <v>190000</v>
      </c>
      <c r="U456" s="280"/>
      <c r="V456" s="280"/>
      <c r="W456" s="280"/>
      <c r="X456" s="280"/>
      <c r="Y456" s="113"/>
      <c r="Z456" s="113"/>
      <c r="AA456" s="275"/>
      <c r="AB456" s="113"/>
      <c r="AC456" s="113"/>
      <c r="AD456" s="113"/>
      <c r="AE456" s="133"/>
      <c r="AG456" s="133"/>
      <c r="AH456" s="133"/>
      <c r="AI456" s="132">
        <f t="shared" si="153"/>
        <v>193534</v>
      </c>
      <c r="AJ456" s="132">
        <f t="shared" si="154"/>
        <v>193534</v>
      </c>
      <c r="AK456" s="133">
        <f t="shared" si="155"/>
        <v>0</v>
      </c>
      <c r="AL456" s="132"/>
      <c r="AM456" s="133" t="s">
        <v>900</v>
      </c>
      <c r="AN456" s="246">
        <v>44842</v>
      </c>
      <c r="AO456" s="137"/>
      <c r="AP456" s="97"/>
      <c r="AQ456" s="97"/>
      <c r="AR456" s="97"/>
      <c r="AS456" s="97"/>
      <c r="AT456" s="97"/>
      <c r="AU456" s="97"/>
      <c r="AV456" s="97"/>
      <c r="AW456" s="97"/>
      <c r="AX456" s="97"/>
      <c r="AY456" s="97"/>
      <c r="AZ456" s="97"/>
      <c r="BA456" s="97"/>
      <c r="BB456" s="97"/>
      <c r="BC456" s="97"/>
      <c r="BD456" s="97"/>
      <c r="BE456" s="97"/>
    </row>
    <row r="457" s="115" customFormat="1" customHeight="1" spans="1:57">
      <c r="A457" s="115" t="s">
        <v>5362</v>
      </c>
      <c r="B457" s="111" t="s">
        <v>5363</v>
      </c>
      <c r="C457" s="554" t="s">
        <v>5364</v>
      </c>
      <c r="D457" s="121" t="s">
        <v>5365</v>
      </c>
      <c r="E457" s="266">
        <v>13838600003</v>
      </c>
      <c r="F457" s="267">
        <v>4</v>
      </c>
      <c r="G457" s="268">
        <v>4102</v>
      </c>
      <c r="H457" s="268">
        <v>43.42</v>
      </c>
      <c r="I457" s="274" t="s">
        <v>2665</v>
      </c>
      <c r="J457" s="113" t="s">
        <v>5366</v>
      </c>
      <c r="K457" s="266">
        <v>52.2</v>
      </c>
      <c r="L457" s="266" t="s">
        <v>2799</v>
      </c>
      <c r="M457" s="275" t="s">
        <v>5367</v>
      </c>
      <c r="N457" s="113" t="s">
        <v>66</v>
      </c>
      <c r="O457" s="113"/>
      <c r="P457" s="113"/>
      <c r="Q457" s="113">
        <v>20335.11</v>
      </c>
      <c r="R457" s="113">
        <v>1061493</v>
      </c>
      <c r="S457" s="280">
        <v>561493</v>
      </c>
      <c r="T457" s="281">
        <f t="shared" si="152"/>
        <v>500000</v>
      </c>
      <c r="U457" s="280"/>
      <c r="V457" s="280"/>
      <c r="W457" s="280"/>
      <c r="X457" s="280"/>
      <c r="Y457" s="113"/>
      <c r="Z457" s="113"/>
      <c r="AA457" s="275"/>
      <c r="AB457" s="113"/>
      <c r="AC457" s="113"/>
      <c r="AD457" s="113"/>
      <c r="AE457" s="133"/>
      <c r="AF457" s="115" t="s">
        <v>237</v>
      </c>
      <c r="AG457" s="133" t="s">
        <v>5368</v>
      </c>
      <c r="AH457" s="133"/>
      <c r="AI457" s="132">
        <f t="shared" si="153"/>
        <v>561493</v>
      </c>
      <c r="AJ457" s="132">
        <f t="shared" si="154"/>
        <v>561493</v>
      </c>
      <c r="AK457" s="133">
        <f t="shared" si="155"/>
        <v>0</v>
      </c>
      <c r="AL457" s="132"/>
      <c r="AM457" s="133" t="s">
        <v>886</v>
      </c>
      <c r="AN457" s="246">
        <v>44842</v>
      </c>
      <c r="AO457" s="137"/>
      <c r="AP457" s="97"/>
      <c r="AQ457" s="97"/>
      <c r="AR457" s="97"/>
      <c r="AS457" s="97"/>
      <c r="AT457" s="97"/>
      <c r="AU457" s="97"/>
      <c r="AV457" s="97"/>
      <c r="AW457" s="97"/>
      <c r="AX457" s="97"/>
      <c r="AY457" s="97"/>
      <c r="AZ457" s="97"/>
      <c r="BA457" s="97"/>
      <c r="BB457" s="97"/>
      <c r="BC457" s="97"/>
      <c r="BD457" s="97"/>
      <c r="BE457" s="97"/>
    </row>
    <row r="458" s="115" customFormat="1" customHeight="1" spans="1:57">
      <c r="A458" s="115" t="s">
        <v>5369</v>
      </c>
      <c r="B458" s="111" t="s">
        <v>5370</v>
      </c>
      <c r="C458" s="554" t="s">
        <v>5371</v>
      </c>
      <c r="D458" s="121" t="s">
        <v>5372</v>
      </c>
      <c r="E458" s="266">
        <v>15303816926</v>
      </c>
      <c r="F458" s="267">
        <v>1</v>
      </c>
      <c r="G458" s="268">
        <v>1119</v>
      </c>
      <c r="H458" s="268">
        <v>13.23</v>
      </c>
      <c r="I458" s="274" t="s">
        <v>2657</v>
      </c>
      <c r="J458" s="113" t="s">
        <v>5373</v>
      </c>
      <c r="K458" s="266">
        <v>12.75</v>
      </c>
      <c r="L458" s="266" t="s">
        <v>4587</v>
      </c>
      <c r="M458" s="275" t="s">
        <v>5374</v>
      </c>
      <c r="N458" s="113" t="s">
        <v>66</v>
      </c>
      <c r="O458" s="113"/>
      <c r="P458" s="113"/>
      <c r="Q458" s="113">
        <v>49089.88</v>
      </c>
      <c r="R458" s="113">
        <v>649459</v>
      </c>
      <c r="S458" s="280">
        <v>329459</v>
      </c>
      <c r="T458" s="281">
        <f t="shared" si="152"/>
        <v>320000</v>
      </c>
      <c r="U458" s="280"/>
      <c r="V458" s="280">
        <v>859</v>
      </c>
      <c r="W458" s="280">
        <v>550</v>
      </c>
      <c r="X458" s="280"/>
      <c r="Y458" s="113" t="s">
        <v>2669</v>
      </c>
      <c r="Z458" s="113"/>
      <c r="AA458" s="275"/>
      <c r="AB458" s="113"/>
      <c r="AC458" s="113">
        <v>1252</v>
      </c>
      <c r="AD458" s="113"/>
      <c r="AE458" s="133"/>
      <c r="AG458" s="133"/>
      <c r="AH458" s="133"/>
      <c r="AI458" s="132">
        <f t="shared" si="153"/>
        <v>332120</v>
      </c>
      <c r="AJ458" s="132">
        <f t="shared" si="154"/>
        <v>330868</v>
      </c>
      <c r="AK458" s="133">
        <f t="shared" si="155"/>
        <v>1252</v>
      </c>
      <c r="AL458" s="132"/>
      <c r="AM458" s="133" t="s">
        <v>886</v>
      </c>
      <c r="AN458" s="246">
        <v>44842</v>
      </c>
      <c r="AO458" s="137"/>
      <c r="AP458" s="97"/>
      <c r="AQ458" s="97"/>
      <c r="AR458" s="97"/>
      <c r="AS458" s="97"/>
      <c r="AT458" s="97"/>
      <c r="AU458" s="97"/>
      <c r="AV458" s="97"/>
      <c r="AW458" s="97"/>
      <c r="AX458" s="97"/>
      <c r="AY458" s="97"/>
      <c r="AZ458" s="97"/>
      <c r="BA458" s="97"/>
      <c r="BB458" s="97"/>
      <c r="BC458" s="97"/>
      <c r="BD458" s="97"/>
      <c r="BE458" s="97"/>
    </row>
    <row r="459" s="115" customFormat="1" customHeight="1" spans="1:57">
      <c r="A459" s="115" t="s">
        <v>5375</v>
      </c>
      <c r="B459" s="111" t="s">
        <v>5376</v>
      </c>
      <c r="C459" s="554" t="s">
        <v>5377</v>
      </c>
      <c r="D459" s="121" t="s">
        <v>5378</v>
      </c>
      <c r="E459" s="266">
        <v>13663859317</v>
      </c>
      <c r="F459" s="267">
        <v>1</v>
      </c>
      <c r="G459" s="268">
        <v>1317</v>
      </c>
      <c r="H459" s="268">
        <v>14.62</v>
      </c>
      <c r="I459" s="274" t="s">
        <v>2657</v>
      </c>
      <c r="J459" s="113" t="s">
        <v>5379</v>
      </c>
      <c r="K459" s="266">
        <v>14.1</v>
      </c>
      <c r="L459" s="266" t="s">
        <v>5380</v>
      </c>
      <c r="M459" s="275" t="s">
        <v>4949</v>
      </c>
      <c r="N459" s="113" t="s">
        <v>56</v>
      </c>
      <c r="O459" s="113"/>
      <c r="P459" s="113"/>
      <c r="Q459" s="113">
        <v>48439.72</v>
      </c>
      <c r="R459" s="113">
        <v>683000</v>
      </c>
      <c r="S459" s="280">
        <v>683000</v>
      </c>
      <c r="T459" s="281">
        <f t="shared" si="152"/>
        <v>0</v>
      </c>
      <c r="U459" s="280"/>
      <c r="V459" s="280"/>
      <c r="W459" s="280"/>
      <c r="X459" s="280"/>
      <c r="Y459" s="113"/>
      <c r="Z459" s="113"/>
      <c r="AA459" s="275"/>
      <c r="AB459" s="113"/>
      <c r="AC459" s="113"/>
      <c r="AD459" s="113"/>
      <c r="AE459" s="133"/>
      <c r="AG459" s="133"/>
      <c r="AH459" s="133"/>
      <c r="AI459" s="132">
        <f t="shared" si="153"/>
        <v>683000</v>
      </c>
      <c r="AJ459" s="132">
        <f t="shared" si="154"/>
        <v>683000</v>
      </c>
      <c r="AK459" s="133">
        <f t="shared" si="155"/>
        <v>0</v>
      </c>
      <c r="AL459" s="132"/>
      <c r="AM459" s="133" t="s">
        <v>886</v>
      </c>
      <c r="AN459" s="246">
        <v>44842</v>
      </c>
      <c r="AO459" s="137"/>
      <c r="AP459" s="97"/>
      <c r="AQ459" s="97"/>
      <c r="AR459" s="97"/>
      <c r="AS459" s="97"/>
      <c r="AT459" s="97"/>
      <c r="AU459" s="97"/>
      <c r="AV459" s="97"/>
      <c r="AW459" s="97"/>
      <c r="AX459" s="97"/>
      <c r="AY459" s="97"/>
      <c r="AZ459" s="97"/>
      <c r="BA459" s="97"/>
      <c r="BB459" s="97"/>
      <c r="BC459" s="97"/>
      <c r="BD459" s="97"/>
      <c r="BE459" s="97"/>
    </row>
    <row r="460" s="115" customFormat="1" customHeight="1" spans="1:57">
      <c r="A460" s="115" t="s">
        <v>5381</v>
      </c>
      <c r="B460" s="111" t="s">
        <v>5382</v>
      </c>
      <c r="C460" s="111" t="s">
        <v>5383</v>
      </c>
      <c r="D460" s="121" t="s">
        <v>5384</v>
      </c>
      <c r="E460" s="266">
        <v>15637135406</v>
      </c>
      <c r="F460" s="267">
        <v>3</v>
      </c>
      <c r="G460" s="268">
        <v>3715</v>
      </c>
      <c r="H460" s="268">
        <v>16.1</v>
      </c>
      <c r="I460" s="274" t="s">
        <v>2657</v>
      </c>
      <c r="J460" s="113" t="s">
        <v>5385</v>
      </c>
      <c r="K460" s="266">
        <v>15.62</v>
      </c>
      <c r="L460" s="266" t="s">
        <v>2762</v>
      </c>
      <c r="M460" s="275" t="s">
        <v>3008</v>
      </c>
      <c r="N460" s="113" t="s">
        <v>66</v>
      </c>
      <c r="O460" s="113"/>
      <c r="P460" s="113"/>
      <c r="Q460" s="113">
        <v>31996.16</v>
      </c>
      <c r="R460" s="113">
        <v>499780</v>
      </c>
      <c r="S460" s="280">
        <v>359780</v>
      </c>
      <c r="T460" s="281">
        <v>140000</v>
      </c>
      <c r="U460" s="280"/>
      <c r="V460" s="280"/>
      <c r="W460" s="280"/>
      <c r="X460" s="280"/>
      <c r="Y460" s="113"/>
      <c r="Z460" s="113"/>
      <c r="AA460" s="275"/>
      <c r="AB460" s="113"/>
      <c r="AC460" s="113"/>
      <c r="AD460" s="113"/>
      <c r="AE460" s="133"/>
      <c r="AG460" s="133"/>
      <c r="AH460" s="133"/>
      <c r="AI460" s="132">
        <f t="shared" si="153"/>
        <v>359780</v>
      </c>
      <c r="AJ460" s="132">
        <f t="shared" si="154"/>
        <v>359780</v>
      </c>
      <c r="AK460" s="133">
        <f t="shared" si="155"/>
        <v>0</v>
      </c>
      <c r="AL460" s="132"/>
      <c r="AM460" s="133" t="s">
        <v>854</v>
      </c>
      <c r="AN460" s="246">
        <v>44842</v>
      </c>
      <c r="AO460" s="137"/>
      <c r="AP460" s="97"/>
      <c r="AQ460" s="97"/>
      <c r="AR460" s="97"/>
      <c r="AS460" s="97"/>
      <c r="AT460" s="97"/>
      <c r="AU460" s="97"/>
      <c r="AV460" s="97"/>
      <c r="AW460" s="97"/>
      <c r="AX460" s="97"/>
      <c r="AY460" s="97"/>
      <c r="AZ460" s="97"/>
      <c r="BA460" s="97"/>
      <c r="BB460" s="97"/>
      <c r="BC460" s="97"/>
      <c r="BD460" s="97"/>
      <c r="BE460" s="97"/>
    </row>
    <row r="461" s="115" customFormat="1" customHeight="1" spans="1:57">
      <c r="A461" s="115" t="s">
        <v>5386</v>
      </c>
      <c r="B461" s="111" t="s">
        <v>5387</v>
      </c>
      <c r="C461" s="554" t="s">
        <v>5388</v>
      </c>
      <c r="D461" s="121" t="s">
        <v>5389</v>
      </c>
      <c r="E461" s="266" t="s">
        <v>5390</v>
      </c>
      <c r="F461" s="267">
        <v>1</v>
      </c>
      <c r="G461" s="268">
        <v>1530</v>
      </c>
      <c r="H461" s="268">
        <v>10.79</v>
      </c>
      <c r="I461" s="274" t="s">
        <v>2657</v>
      </c>
      <c r="J461" s="113" t="s">
        <v>5391</v>
      </c>
      <c r="K461" s="266">
        <v>10.78</v>
      </c>
      <c r="L461" s="266" t="s">
        <v>2961</v>
      </c>
      <c r="M461" s="275" t="s">
        <v>5392</v>
      </c>
      <c r="N461" s="113" t="s">
        <v>56</v>
      </c>
      <c r="O461" s="113"/>
      <c r="P461" s="113"/>
      <c r="Q461" s="113">
        <v>48212.8</v>
      </c>
      <c r="R461" s="113">
        <v>520216</v>
      </c>
      <c r="S461" s="280">
        <v>520216</v>
      </c>
      <c r="T461" s="281">
        <f>R461-S461</f>
        <v>0</v>
      </c>
      <c r="U461" s="280"/>
      <c r="V461" s="280">
        <v>701</v>
      </c>
      <c r="W461" s="280">
        <v>550</v>
      </c>
      <c r="X461" s="280"/>
      <c r="Y461" s="113" t="s">
        <v>2669</v>
      </c>
      <c r="Z461" s="113"/>
      <c r="AA461" s="275"/>
      <c r="AB461" s="113"/>
      <c r="AC461" s="113"/>
      <c r="AD461" s="113"/>
      <c r="AE461" s="133"/>
      <c r="AG461" s="133"/>
      <c r="AH461" s="133"/>
      <c r="AI461" s="132">
        <f t="shared" si="153"/>
        <v>521467</v>
      </c>
      <c r="AJ461" s="132">
        <f t="shared" si="154"/>
        <v>521467</v>
      </c>
      <c r="AK461" s="133">
        <f t="shared" si="155"/>
        <v>0</v>
      </c>
      <c r="AL461" s="132"/>
      <c r="AM461" s="133" t="s">
        <v>900</v>
      </c>
      <c r="AN461" s="246">
        <v>44842</v>
      </c>
      <c r="AO461" s="137"/>
      <c r="AP461" s="97"/>
      <c r="AQ461" s="97"/>
      <c r="AR461" s="97"/>
      <c r="AS461" s="97"/>
      <c r="AT461" s="97"/>
      <c r="AU461" s="97"/>
      <c r="AV461" s="97"/>
      <c r="AW461" s="97"/>
      <c r="AX461" s="97"/>
      <c r="AY461" s="97"/>
      <c r="AZ461" s="97"/>
      <c r="BA461" s="97"/>
      <c r="BB461" s="97"/>
      <c r="BC461" s="97"/>
      <c r="BD461" s="97"/>
      <c r="BE461" s="97"/>
    </row>
    <row r="462" s="115" customFormat="1" customHeight="1" spans="1:57">
      <c r="A462" s="115" t="s">
        <v>5393</v>
      </c>
      <c r="B462" s="111" t="s">
        <v>5394</v>
      </c>
      <c r="C462" s="111" t="s">
        <v>5395</v>
      </c>
      <c r="D462" s="121" t="s">
        <v>5396</v>
      </c>
      <c r="E462" s="266" t="s">
        <v>5397</v>
      </c>
      <c r="F462" s="267">
        <v>4</v>
      </c>
      <c r="G462" s="268">
        <v>4424</v>
      </c>
      <c r="H462" s="268">
        <v>29.74</v>
      </c>
      <c r="I462" s="274" t="s">
        <v>2665</v>
      </c>
      <c r="J462" s="113" t="s">
        <v>5398</v>
      </c>
      <c r="K462" s="266">
        <v>37.15</v>
      </c>
      <c r="L462" s="266" t="s">
        <v>5022</v>
      </c>
      <c r="M462" s="275" t="s">
        <v>3472</v>
      </c>
      <c r="N462" s="113" t="s">
        <v>66</v>
      </c>
      <c r="O462" s="113"/>
      <c r="P462" s="113"/>
      <c r="Q462" s="113">
        <v>21534.32</v>
      </c>
      <c r="R462" s="113">
        <v>640431</v>
      </c>
      <c r="S462" s="280">
        <v>400431</v>
      </c>
      <c r="T462" s="281"/>
      <c r="U462" s="280">
        <v>240000</v>
      </c>
      <c r="V462" s="280">
        <v>1933</v>
      </c>
      <c r="W462" s="280">
        <v>550</v>
      </c>
      <c r="X462" s="280"/>
      <c r="Y462" s="113" t="s">
        <v>2669</v>
      </c>
      <c r="Z462" s="113" t="s">
        <v>48</v>
      </c>
      <c r="AA462" s="275">
        <v>44024</v>
      </c>
      <c r="AB462" s="113"/>
      <c r="AC462" s="113"/>
      <c r="AD462" s="113"/>
      <c r="AE462" s="133"/>
      <c r="AG462" s="133"/>
      <c r="AH462" s="133"/>
      <c r="AI462" s="132">
        <f t="shared" si="153"/>
        <v>642914</v>
      </c>
      <c r="AJ462" s="132">
        <f t="shared" si="154"/>
        <v>642914</v>
      </c>
      <c r="AK462" s="133">
        <f t="shared" si="155"/>
        <v>0</v>
      </c>
      <c r="AL462" s="132"/>
      <c r="AM462" s="133" t="s">
        <v>900</v>
      </c>
      <c r="AN462" s="246">
        <v>44842</v>
      </c>
      <c r="AO462" s="137"/>
      <c r="AP462" s="97"/>
      <c r="AQ462" s="97"/>
      <c r="AR462" s="97"/>
      <c r="AS462" s="97"/>
      <c r="AT462" s="97"/>
      <c r="AU462" s="97"/>
      <c r="AV462" s="97"/>
      <c r="AW462" s="97"/>
      <c r="AX462" s="97"/>
      <c r="AY462" s="97"/>
      <c r="AZ462" s="97"/>
      <c r="BA462" s="97"/>
      <c r="BB462" s="97"/>
      <c r="BC462" s="97"/>
      <c r="BD462" s="97"/>
      <c r="BE462" s="97"/>
    </row>
    <row r="463" s="115" customFormat="1" customHeight="1" spans="1:57">
      <c r="A463" s="115" t="s">
        <v>5399</v>
      </c>
      <c r="B463" s="111" t="s">
        <v>5400</v>
      </c>
      <c r="C463" s="554" t="s">
        <v>5401</v>
      </c>
      <c r="D463" s="121" t="s">
        <v>5402</v>
      </c>
      <c r="E463" s="266">
        <v>13803890760</v>
      </c>
      <c r="F463" s="267">
        <v>1</v>
      </c>
      <c r="G463" s="268">
        <v>1617</v>
      </c>
      <c r="H463" s="268">
        <v>15.27</v>
      </c>
      <c r="I463" s="274" t="s">
        <v>2657</v>
      </c>
      <c r="J463" s="113" t="s">
        <v>5403</v>
      </c>
      <c r="K463" s="266">
        <v>13.92</v>
      </c>
      <c r="L463" s="266" t="s">
        <v>2961</v>
      </c>
      <c r="M463" s="275" t="s">
        <v>3858</v>
      </c>
      <c r="N463" s="113" t="s">
        <v>56</v>
      </c>
      <c r="O463" s="113"/>
      <c r="P463" s="113"/>
      <c r="Q463" s="113">
        <v>46751.72</v>
      </c>
      <c r="R463" s="113">
        <v>650784</v>
      </c>
      <c r="S463" s="280">
        <v>650784</v>
      </c>
      <c r="T463" s="281">
        <f t="shared" ref="T463:T474" si="156">R463-S463</f>
        <v>0</v>
      </c>
      <c r="U463" s="280"/>
      <c r="V463" s="280"/>
      <c r="W463" s="280"/>
      <c r="X463" s="280"/>
      <c r="Y463" s="113"/>
      <c r="Z463" s="113"/>
      <c r="AA463" s="275"/>
      <c r="AB463" s="113"/>
      <c r="AC463" s="113"/>
      <c r="AD463" s="113"/>
      <c r="AE463" s="133"/>
      <c r="AG463" s="133" t="s">
        <v>2657</v>
      </c>
      <c r="AH463" s="133"/>
      <c r="AI463" s="132">
        <f t="shared" si="153"/>
        <v>650784</v>
      </c>
      <c r="AJ463" s="132">
        <f t="shared" si="154"/>
        <v>650784</v>
      </c>
      <c r="AK463" s="133">
        <f t="shared" si="155"/>
        <v>0</v>
      </c>
      <c r="AL463" s="132"/>
      <c r="AM463" s="133" t="s">
        <v>900</v>
      </c>
      <c r="AN463" s="246">
        <v>44842</v>
      </c>
      <c r="AO463" s="137"/>
      <c r="AP463" s="97"/>
      <c r="AQ463" s="97"/>
      <c r="AR463" s="97"/>
      <c r="AS463" s="97"/>
      <c r="AT463" s="97"/>
      <c r="AU463" s="97"/>
      <c r="AV463" s="97"/>
      <c r="AW463" s="97"/>
      <c r="AX463" s="97"/>
      <c r="AY463" s="97"/>
      <c r="AZ463" s="97"/>
      <c r="BA463" s="97"/>
      <c r="BB463" s="97"/>
      <c r="BC463" s="97"/>
      <c r="BD463" s="97"/>
      <c r="BE463" s="97"/>
    </row>
    <row r="464" s="115" customFormat="1" customHeight="1" spans="1:57">
      <c r="A464" s="115" t="s">
        <v>5404</v>
      </c>
      <c r="B464" s="111" t="s">
        <v>5405</v>
      </c>
      <c r="C464" s="554" t="s">
        <v>5406</v>
      </c>
      <c r="D464" s="121" t="s">
        <v>5407</v>
      </c>
      <c r="E464" s="266">
        <v>13643843273</v>
      </c>
      <c r="F464" s="267">
        <v>4</v>
      </c>
      <c r="G464" s="268">
        <v>4397</v>
      </c>
      <c r="H464" s="268">
        <v>26.94</v>
      </c>
      <c r="I464" s="274" t="s">
        <v>2657</v>
      </c>
      <c r="J464" s="113" t="s">
        <v>5408</v>
      </c>
      <c r="K464" s="266">
        <v>23.51</v>
      </c>
      <c r="L464" s="266" t="s">
        <v>5097</v>
      </c>
      <c r="M464" s="275" t="s">
        <v>5097</v>
      </c>
      <c r="N464" s="113" t="s">
        <v>66</v>
      </c>
      <c r="O464" s="113"/>
      <c r="P464" s="113"/>
      <c r="Q464" s="113">
        <v>26622.37</v>
      </c>
      <c r="R464" s="113">
        <v>625892</v>
      </c>
      <c r="S464" s="280">
        <v>325892</v>
      </c>
      <c r="T464" s="281">
        <f t="shared" si="156"/>
        <v>300000</v>
      </c>
      <c r="U464" s="280"/>
      <c r="V464" s="280"/>
      <c r="W464" s="280"/>
      <c r="X464" s="280"/>
      <c r="Y464" s="113"/>
      <c r="Z464" s="113"/>
      <c r="AA464" s="275"/>
      <c r="AB464" s="113" t="s">
        <v>5409</v>
      </c>
      <c r="AC464" s="113"/>
      <c r="AD464" s="113"/>
      <c r="AE464" s="133"/>
      <c r="AG464" s="133"/>
      <c r="AH464" s="133"/>
      <c r="AI464" s="132">
        <f t="shared" si="153"/>
        <v>325892</v>
      </c>
      <c r="AJ464" s="132">
        <f t="shared" si="154"/>
        <v>325892</v>
      </c>
      <c r="AK464" s="133">
        <f t="shared" si="155"/>
        <v>0</v>
      </c>
      <c r="AL464" s="132"/>
      <c r="AM464" s="133" t="s">
        <v>900</v>
      </c>
      <c r="AN464" s="246">
        <v>44842</v>
      </c>
      <c r="AO464" s="137"/>
      <c r="AP464" s="97"/>
      <c r="AQ464" s="97"/>
      <c r="AR464" s="97"/>
      <c r="AS464" s="97"/>
      <c r="AT464" s="97"/>
      <c r="AU464" s="97"/>
      <c r="AV464" s="97"/>
      <c r="AW464" s="97"/>
      <c r="AX464" s="97"/>
      <c r="AY464" s="97"/>
      <c r="AZ464" s="97"/>
      <c r="BA464" s="97"/>
      <c r="BB464" s="97"/>
      <c r="BC464" s="97"/>
      <c r="BD464" s="97"/>
      <c r="BE464" s="97"/>
    </row>
    <row r="465" s="115" customFormat="1" customHeight="1" spans="1:57">
      <c r="A465" s="115" t="s">
        <v>5410</v>
      </c>
      <c r="B465" s="111" t="s">
        <v>5411</v>
      </c>
      <c r="C465" s="111" t="s">
        <v>5412</v>
      </c>
      <c r="D465" s="121" t="s">
        <v>5413</v>
      </c>
      <c r="E465" s="266">
        <v>18539973242</v>
      </c>
      <c r="F465" s="267">
        <v>3</v>
      </c>
      <c r="G465" s="268">
        <v>3807</v>
      </c>
      <c r="H465" s="268">
        <v>10.56</v>
      </c>
      <c r="I465" s="274" t="s">
        <v>2657</v>
      </c>
      <c r="J465" s="113" t="s">
        <v>5414</v>
      </c>
      <c r="K465" s="266">
        <v>9.32</v>
      </c>
      <c r="L465" s="266" t="s">
        <v>3710</v>
      </c>
      <c r="M465" s="275" t="s">
        <v>5198</v>
      </c>
      <c r="N465" s="113" t="s">
        <v>66</v>
      </c>
      <c r="O465" s="113"/>
      <c r="P465" s="113"/>
      <c r="Q465" s="113">
        <v>33078.76</v>
      </c>
      <c r="R465" s="113">
        <v>349312</v>
      </c>
      <c r="S465" s="280">
        <v>179312</v>
      </c>
      <c r="T465" s="281">
        <f t="shared" si="156"/>
        <v>170000</v>
      </c>
      <c r="U465" s="280"/>
      <c r="V465" s="280">
        <v>686</v>
      </c>
      <c r="W465" s="280">
        <v>560</v>
      </c>
      <c r="X465" s="280"/>
      <c r="Y465" s="113" t="s">
        <v>2669</v>
      </c>
      <c r="Z465" s="113" t="s">
        <v>48</v>
      </c>
      <c r="AA465" s="275">
        <v>44099</v>
      </c>
      <c r="AB465" s="113"/>
      <c r="AC465" s="113">
        <v>1237</v>
      </c>
      <c r="AD465" s="113"/>
      <c r="AE465" s="133"/>
      <c r="AG465" s="133"/>
      <c r="AH465" s="133"/>
      <c r="AI465" s="132">
        <f t="shared" si="153"/>
        <v>181795</v>
      </c>
      <c r="AJ465" s="132">
        <f t="shared" si="154"/>
        <v>180558</v>
      </c>
      <c r="AK465" s="133">
        <f t="shared" si="155"/>
        <v>1237</v>
      </c>
      <c r="AL465" s="132" t="s">
        <v>5415</v>
      </c>
      <c r="AM465" s="133" t="s">
        <v>900</v>
      </c>
      <c r="AN465" s="246">
        <v>44842</v>
      </c>
      <c r="AO465" s="137"/>
      <c r="AP465" s="97"/>
      <c r="AQ465" s="97"/>
      <c r="AR465" s="97"/>
      <c r="AS465" s="97"/>
      <c r="AT465" s="97"/>
      <c r="AU465" s="97"/>
      <c r="AV465" s="97"/>
      <c r="AW465" s="97"/>
      <c r="AX465" s="97"/>
      <c r="AY465" s="97"/>
      <c r="AZ465" s="97"/>
      <c r="BA465" s="97"/>
      <c r="BB465" s="97"/>
      <c r="BC465" s="97"/>
      <c r="BD465" s="97"/>
      <c r="BE465" s="97"/>
    </row>
    <row r="466" s="115" customFormat="1" customHeight="1" spans="1:57">
      <c r="A466" s="115" t="s">
        <v>5416</v>
      </c>
      <c r="B466" s="111" t="s">
        <v>5417</v>
      </c>
      <c r="C466" s="554" t="s">
        <v>5418</v>
      </c>
      <c r="D466" s="121" t="s">
        <v>5419</v>
      </c>
      <c r="E466" s="266">
        <v>15136401666</v>
      </c>
      <c r="F466" s="267">
        <v>4</v>
      </c>
      <c r="G466" s="268">
        <v>4318</v>
      </c>
      <c r="H466" s="268">
        <v>58.08</v>
      </c>
      <c r="I466" s="274" t="s">
        <v>2657</v>
      </c>
      <c r="J466" s="113" t="s">
        <v>5420</v>
      </c>
      <c r="K466" s="266">
        <v>50.72</v>
      </c>
      <c r="L466" s="266" t="s">
        <v>3073</v>
      </c>
      <c r="M466" s="275" t="s">
        <v>2746</v>
      </c>
      <c r="N466" s="113" t="s">
        <v>66</v>
      </c>
      <c r="O466" s="113"/>
      <c r="P466" s="113"/>
      <c r="Q466" s="113">
        <v>25789.81</v>
      </c>
      <c r="R466" s="113">
        <v>1308059</v>
      </c>
      <c r="S466" s="280">
        <v>658059</v>
      </c>
      <c r="T466" s="281">
        <f t="shared" si="156"/>
        <v>650000</v>
      </c>
      <c r="U466" s="280"/>
      <c r="V466" s="280"/>
      <c r="W466" s="280"/>
      <c r="X466" s="280"/>
      <c r="Y466" s="113"/>
      <c r="Z466" s="113"/>
      <c r="AA466" s="275"/>
      <c r="AB466" s="113" t="s">
        <v>5421</v>
      </c>
      <c r="AC466" s="113"/>
      <c r="AD466" s="113"/>
      <c r="AE466" s="133"/>
      <c r="AG466" s="133"/>
      <c r="AH466" s="133"/>
      <c r="AI466" s="132">
        <f t="shared" si="153"/>
        <v>658059</v>
      </c>
      <c r="AJ466" s="132">
        <f t="shared" si="154"/>
        <v>658059</v>
      </c>
      <c r="AK466" s="133">
        <f t="shared" si="155"/>
        <v>0</v>
      </c>
      <c r="AL466" s="132"/>
      <c r="AM466" s="133" t="s">
        <v>900</v>
      </c>
      <c r="AN466" s="246">
        <v>44842</v>
      </c>
      <c r="AO466" s="137"/>
      <c r="AP466" s="97"/>
      <c r="AQ466" s="97"/>
      <c r="AR466" s="97"/>
      <c r="AS466" s="97"/>
      <c r="AT466" s="97"/>
      <c r="AU466" s="97"/>
      <c r="AV466" s="97"/>
      <c r="AW466" s="97"/>
      <c r="AX466" s="97"/>
      <c r="AY466" s="97"/>
      <c r="AZ466" s="97"/>
      <c r="BA466" s="97"/>
      <c r="BB466" s="97"/>
      <c r="BC466" s="97"/>
      <c r="BD466" s="97"/>
      <c r="BE466" s="97"/>
    </row>
    <row r="467" s="115" customFormat="1" customHeight="1" spans="1:57">
      <c r="A467" s="115" t="s">
        <v>5422</v>
      </c>
      <c r="B467" s="111" t="s">
        <v>5423</v>
      </c>
      <c r="C467" s="111" t="s">
        <v>5424</v>
      </c>
      <c r="D467" s="121" t="s">
        <v>5425</v>
      </c>
      <c r="E467" s="266">
        <v>15093127168</v>
      </c>
      <c r="F467" s="267">
        <v>3</v>
      </c>
      <c r="G467" s="268">
        <v>3362</v>
      </c>
      <c r="H467" s="268">
        <v>18.75</v>
      </c>
      <c r="I467" s="274" t="s">
        <v>2657</v>
      </c>
      <c r="J467" s="113" t="s">
        <v>5426</v>
      </c>
      <c r="K467" s="266">
        <v>19.55</v>
      </c>
      <c r="L467" s="266" t="s">
        <v>4806</v>
      </c>
      <c r="M467" s="275" t="s">
        <v>5427</v>
      </c>
      <c r="N467" s="113" t="s">
        <v>66</v>
      </c>
      <c r="O467" s="113"/>
      <c r="P467" s="113"/>
      <c r="Q467" s="113">
        <v>31713.55</v>
      </c>
      <c r="R467" s="113">
        <v>620000</v>
      </c>
      <c r="S467" s="280">
        <v>310000</v>
      </c>
      <c r="T467" s="281">
        <f t="shared" si="156"/>
        <v>310000</v>
      </c>
      <c r="U467" s="280"/>
      <c r="V467" s="280"/>
      <c r="W467" s="280"/>
      <c r="X467" s="280"/>
      <c r="Y467" s="113"/>
      <c r="Z467" s="113"/>
      <c r="AA467" s="275"/>
      <c r="AB467" s="113"/>
      <c r="AC467" s="113"/>
      <c r="AD467" s="113"/>
      <c r="AE467" s="133"/>
      <c r="AG467" s="133"/>
      <c r="AH467" s="133"/>
      <c r="AI467" s="132">
        <f t="shared" ref="AI467:AI480" si="157">S467+U467+V467+W467+X467+AC467+AD467+AE467</f>
        <v>310000</v>
      </c>
      <c r="AJ467" s="132">
        <f t="shared" ref="AJ467:AJ480" si="158">S467+U467+V467+W467+X467</f>
        <v>310000</v>
      </c>
      <c r="AK467" s="133">
        <f t="shared" ref="AK467:AK480" si="159">AI467-AJ467</f>
        <v>0</v>
      </c>
      <c r="AL467" s="132"/>
      <c r="AM467" s="133" t="s">
        <v>900</v>
      </c>
      <c r="AN467" s="246">
        <v>44842</v>
      </c>
      <c r="AO467" s="137"/>
      <c r="AP467" s="97"/>
      <c r="AQ467" s="97"/>
      <c r="AR467" s="97"/>
      <c r="AS467" s="97"/>
      <c r="AT467" s="97"/>
      <c r="AU467" s="97"/>
      <c r="AV467" s="97"/>
      <c r="AW467" s="97"/>
      <c r="AX467" s="97"/>
      <c r="AY467" s="97"/>
      <c r="AZ467" s="97"/>
      <c r="BA467" s="97"/>
      <c r="BB467" s="97"/>
      <c r="BC467" s="97"/>
      <c r="BD467" s="97"/>
      <c r="BE467" s="97"/>
    </row>
    <row r="468" s="115" customFormat="1" customHeight="1" spans="1:57">
      <c r="A468" s="115" t="s">
        <v>5428</v>
      </c>
      <c r="B468" s="111" t="s">
        <v>5429</v>
      </c>
      <c r="C468" s="111" t="s">
        <v>5430</v>
      </c>
      <c r="D468" s="121" t="s">
        <v>5431</v>
      </c>
      <c r="E468" s="266">
        <v>13164321517</v>
      </c>
      <c r="F468" s="267">
        <v>3</v>
      </c>
      <c r="G468" s="268">
        <v>3313</v>
      </c>
      <c r="H468" s="268">
        <v>13.39</v>
      </c>
      <c r="I468" s="274" t="s">
        <v>2657</v>
      </c>
      <c r="J468" s="113" t="s">
        <v>5432</v>
      </c>
      <c r="K468" s="266">
        <v>13.25</v>
      </c>
      <c r="L468" s="266" t="s">
        <v>3963</v>
      </c>
      <c r="M468" s="275" t="s">
        <v>3484</v>
      </c>
      <c r="N468" s="113" t="s">
        <v>66</v>
      </c>
      <c r="O468" s="113"/>
      <c r="P468" s="113"/>
      <c r="Q468" s="113">
        <v>32085.13</v>
      </c>
      <c r="R468" s="113">
        <v>429620</v>
      </c>
      <c r="S468" s="280">
        <v>339620</v>
      </c>
      <c r="T468" s="281">
        <f t="shared" si="156"/>
        <v>90000</v>
      </c>
      <c r="U468" s="280"/>
      <c r="V468" s="280">
        <v>870</v>
      </c>
      <c r="W468" s="280">
        <v>550</v>
      </c>
      <c r="X468" s="280"/>
      <c r="Y468" s="113" t="s">
        <v>2669</v>
      </c>
      <c r="Z468" s="113"/>
      <c r="AA468" s="275"/>
      <c r="AB468" s="113"/>
      <c r="AC468" s="113"/>
      <c r="AD468" s="113"/>
      <c r="AE468" s="133"/>
      <c r="AG468" s="133"/>
      <c r="AH468" s="133"/>
      <c r="AI468" s="132">
        <f t="shared" si="157"/>
        <v>341040</v>
      </c>
      <c r="AJ468" s="132">
        <f t="shared" si="158"/>
        <v>341040</v>
      </c>
      <c r="AK468" s="133">
        <f t="shared" si="159"/>
        <v>0</v>
      </c>
      <c r="AL468" s="132"/>
      <c r="AM468" s="133" t="s">
        <v>900</v>
      </c>
      <c r="AN468" s="246">
        <v>44842</v>
      </c>
      <c r="AO468" s="137"/>
      <c r="AP468" s="97"/>
      <c r="AQ468" s="97"/>
      <c r="AR468" s="97"/>
      <c r="AS468" s="97"/>
      <c r="AT468" s="97"/>
      <c r="AU468" s="97"/>
      <c r="AV468" s="97"/>
      <c r="AW468" s="97"/>
      <c r="AX468" s="97"/>
      <c r="AY468" s="97"/>
      <c r="AZ468" s="97"/>
      <c r="BA468" s="97"/>
      <c r="BB468" s="97"/>
      <c r="BC468" s="97"/>
      <c r="BD468" s="97"/>
      <c r="BE468" s="97"/>
    </row>
    <row r="469" s="115" customFormat="1" customHeight="1" spans="1:57">
      <c r="A469" s="115" t="s">
        <v>5433</v>
      </c>
      <c r="B469" s="111" t="s">
        <v>5434</v>
      </c>
      <c r="C469" s="111" t="s">
        <v>5435</v>
      </c>
      <c r="D469" s="121" t="s">
        <v>5436</v>
      </c>
      <c r="E469" s="266">
        <v>15837431005</v>
      </c>
      <c r="F469" s="267">
        <v>3</v>
      </c>
      <c r="G469" s="268">
        <v>3876</v>
      </c>
      <c r="H469" s="268">
        <v>22.05</v>
      </c>
      <c r="I469" s="274" t="s">
        <v>2657</v>
      </c>
      <c r="J469" s="113" t="s">
        <v>5437</v>
      </c>
      <c r="K469" s="266">
        <v>21.14</v>
      </c>
      <c r="L469" s="266" t="s">
        <v>4270</v>
      </c>
      <c r="M469" s="275" t="s">
        <v>4270</v>
      </c>
      <c r="N469" s="113" t="s">
        <v>56</v>
      </c>
      <c r="O469" s="113"/>
      <c r="P469" s="113"/>
      <c r="Q469" s="113">
        <v>31698.77</v>
      </c>
      <c r="R469" s="113">
        <v>670112</v>
      </c>
      <c r="S469" s="280">
        <v>670112</v>
      </c>
      <c r="T469" s="281">
        <f t="shared" si="156"/>
        <v>0</v>
      </c>
      <c r="U469" s="280"/>
      <c r="V469" s="280"/>
      <c r="W469" s="280"/>
      <c r="X469" s="280"/>
      <c r="Y469" s="113"/>
      <c r="Z469" s="113"/>
      <c r="AA469" s="275"/>
      <c r="AB469" s="113"/>
      <c r="AC469" s="113"/>
      <c r="AD469" s="113"/>
      <c r="AE469" s="133"/>
      <c r="AG469" s="133"/>
      <c r="AH469" s="133"/>
      <c r="AI469" s="132">
        <f t="shared" si="157"/>
        <v>670112</v>
      </c>
      <c r="AJ469" s="132">
        <f t="shared" si="158"/>
        <v>670112</v>
      </c>
      <c r="AK469" s="133">
        <f t="shared" si="159"/>
        <v>0</v>
      </c>
      <c r="AL469" s="132"/>
      <c r="AM469" s="133" t="s">
        <v>900</v>
      </c>
      <c r="AN469" s="246">
        <v>44842</v>
      </c>
      <c r="AO469" s="137"/>
      <c r="AP469" s="97"/>
      <c r="AQ469" s="97"/>
      <c r="AR469" s="97"/>
      <c r="AS469" s="97"/>
      <c r="AT469" s="97"/>
      <c r="AU469" s="97"/>
      <c r="AV469" s="97"/>
      <c r="AW469" s="97"/>
      <c r="AX469" s="97"/>
      <c r="AY469" s="97"/>
      <c r="AZ469" s="97"/>
      <c r="BA469" s="97"/>
      <c r="BB469" s="97"/>
      <c r="BC469" s="97"/>
      <c r="BD469" s="97"/>
      <c r="BE469" s="97"/>
    </row>
    <row r="470" s="115" customFormat="1" customHeight="1" spans="1:57">
      <c r="A470" s="115" t="s">
        <v>5438</v>
      </c>
      <c r="B470" s="111" t="s">
        <v>793</v>
      </c>
      <c r="C470" s="111" t="s">
        <v>5439</v>
      </c>
      <c r="D470" s="121" t="s">
        <v>5440</v>
      </c>
      <c r="E470" s="266">
        <v>15837163716</v>
      </c>
      <c r="F470" s="267">
        <v>3</v>
      </c>
      <c r="G470" s="268">
        <v>3941</v>
      </c>
      <c r="H470" s="268">
        <v>14.17</v>
      </c>
      <c r="I470" s="274" t="s">
        <v>2657</v>
      </c>
      <c r="J470" s="113" t="s">
        <v>5441</v>
      </c>
      <c r="K470" s="266">
        <v>14.06</v>
      </c>
      <c r="L470" s="266" t="s">
        <v>3060</v>
      </c>
      <c r="M470" s="275" t="s">
        <v>3192</v>
      </c>
      <c r="N470" s="113" t="s">
        <v>56</v>
      </c>
      <c r="O470" s="113"/>
      <c r="P470" s="113"/>
      <c r="Q470" s="113">
        <v>31294.45</v>
      </c>
      <c r="R470" s="113">
        <v>443442</v>
      </c>
      <c r="S470" s="280">
        <v>443442</v>
      </c>
      <c r="T470" s="281">
        <f t="shared" si="156"/>
        <v>0</v>
      </c>
      <c r="U470" s="280"/>
      <c r="V470" s="280">
        <v>921</v>
      </c>
      <c r="W470" s="280">
        <v>550</v>
      </c>
      <c r="X470" s="280"/>
      <c r="Y470" s="113" t="s">
        <v>2669</v>
      </c>
      <c r="Z470" s="113"/>
      <c r="AA470" s="275"/>
      <c r="AB470" s="113"/>
      <c r="AC470" s="113"/>
      <c r="AD470" s="113"/>
      <c r="AE470" s="133"/>
      <c r="AG470" s="133"/>
      <c r="AH470" s="133"/>
      <c r="AI470" s="132">
        <f t="shared" si="157"/>
        <v>444913</v>
      </c>
      <c r="AJ470" s="132">
        <f t="shared" si="158"/>
        <v>444913</v>
      </c>
      <c r="AK470" s="133">
        <f t="shared" si="159"/>
        <v>0</v>
      </c>
      <c r="AL470" s="132"/>
      <c r="AM470" s="133" t="s">
        <v>900</v>
      </c>
      <c r="AN470" s="246">
        <v>44842</v>
      </c>
      <c r="AO470" s="137"/>
      <c r="AP470" s="97"/>
      <c r="AQ470" s="97"/>
      <c r="AR470" s="97"/>
      <c r="AS470" s="97"/>
      <c r="AT470" s="97"/>
      <c r="AU470" s="97"/>
      <c r="AV470" s="97"/>
      <c r="AW470" s="97"/>
      <c r="AX470" s="97"/>
      <c r="AY470" s="97"/>
      <c r="AZ470" s="97"/>
      <c r="BA470" s="97"/>
      <c r="BB470" s="97"/>
      <c r="BC470" s="97"/>
      <c r="BD470" s="97"/>
      <c r="BE470" s="97"/>
    </row>
    <row r="471" s="115" customFormat="1" customHeight="1" spans="1:57">
      <c r="A471" s="115" t="s">
        <v>5442</v>
      </c>
      <c r="B471" s="111" t="s">
        <v>5443</v>
      </c>
      <c r="C471" s="111" t="s">
        <v>5444</v>
      </c>
      <c r="D471" s="121" t="s">
        <v>5445</v>
      </c>
      <c r="E471" s="266">
        <v>13525763784</v>
      </c>
      <c r="F471" s="267">
        <v>3</v>
      </c>
      <c r="G471" s="268">
        <v>3336</v>
      </c>
      <c r="H471" s="268">
        <v>19.42</v>
      </c>
      <c r="I471" s="274" t="s">
        <v>2657</v>
      </c>
      <c r="J471" s="113" t="s">
        <v>5446</v>
      </c>
      <c r="K471" s="266">
        <v>21.41</v>
      </c>
      <c r="L471" s="266" t="s">
        <v>5219</v>
      </c>
      <c r="M471" s="275" t="s">
        <v>5447</v>
      </c>
      <c r="N471" s="113" t="s">
        <v>56</v>
      </c>
      <c r="O471" s="113"/>
      <c r="P471" s="113"/>
      <c r="Q471" s="113">
        <v>31361.23</v>
      </c>
      <c r="R471" s="113">
        <v>609035</v>
      </c>
      <c r="S471" s="280">
        <v>609035</v>
      </c>
      <c r="T471" s="281">
        <f t="shared" si="156"/>
        <v>0</v>
      </c>
      <c r="U471" s="280"/>
      <c r="V471" s="280">
        <v>1262</v>
      </c>
      <c r="W471" s="280">
        <v>550</v>
      </c>
      <c r="X471" s="280"/>
      <c r="Y471" s="113"/>
      <c r="Z471" s="113"/>
      <c r="AA471" s="275"/>
      <c r="AB471" s="113" t="s">
        <v>5448</v>
      </c>
      <c r="AC471" s="113"/>
      <c r="AD471" s="113"/>
      <c r="AE471" s="133"/>
      <c r="AG471" s="133"/>
      <c r="AH471" s="133"/>
      <c r="AI471" s="132">
        <f t="shared" si="157"/>
        <v>610847</v>
      </c>
      <c r="AJ471" s="132">
        <f t="shared" si="158"/>
        <v>610847</v>
      </c>
      <c r="AK471" s="133">
        <f t="shared" si="159"/>
        <v>0</v>
      </c>
      <c r="AL471" s="132"/>
      <c r="AM471" s="133" t="s">
        <v>900</v>
      </c>
      <c r="AN471" s="246">
        <v>44842</v>
      </c>
      <c r="AO471" s="137"/>
      <c r="AP471" s="97"/>
      <c r="AQ471" s="97"/>
      <c r="AR471" s="97"/>
      <c r="AS471" s="97"/>
      <c r="AT471" s="97"/>
      <c r="AU471" s="97"/>
      <c r="AV471" s="97"/>
      <c r="AW471" s="97"/>
      <c r="AX471" s="97"/>
      <c r="AY471" s="97"/>
      <c r="AZ471" s="97"/>
      <c r="BA471" s="97"/>
      <c r="BB471" s="97"/>
      <c r="BC471" s="97"/>
      <c r="BD471" s="97"/>
      <c r="BE471" s="97"/>
    </row>
    <row r="472" s="115" customFormat="1" customHeight="1" spans="1:57">
      <c r="A472" s="115" t="s">
        <v>5449</v>
      </c>
      <c r="B472" s="111" t="s">
        <v>3025</v>
      </c>
      <c r="C472" s="111" t="s">
        <v>5450</v>
      </c>
      <c r="D472" s="121" t="s">
        <v>5451</v>
      </c>
      <c r="E472" s="266">
        <v>18638737399</v>
      </c>
      <c r="F472" s="267">
        <v>3</v>
      </c>
      <c r="G472" s="268">
        <v>3514</v>
      </c>
      <c r="H472" s="268">
        <v>16.97</v>
      </c>
      <c r="I472" s="274" t="s">
        <v>2657</v>
      </c>
      <c r="J472" s="113" t="s">
        <v>5452</v>
      </c>
      <c r="K472" s="266">
        <v>16.64</v>
      </c>
      <c r="L472" s="266" t="s">
        <v>5453</v>
      </c>
      <c r="M472" s="275" t="s">
        <v>5454</v>
      </c>
      <c r="N472" s="113" t="s">
        <v>66</v>
      </c>
      <c r="O472" s="113"/>
      <c r="P472" s="113"/>
      <c r="Q472" s="113">
        <v>31480.71</v>
      </c>
      <c r="R472" s="113">
        <v>534228</v>
      </c>
      <c r="S472" s="280">
        <v>274228</v>
      </c>
      <c r="T472" s="281">
        <f t="shared" si="156"/>
        <v>260000</v>
      </c>
      <c r="U472" s="280"/>
      <c r="V472" s="280">
        <v>1103</v>
      </c>
      <c r="W472" s="280">
        <v>550</v>
      </c>
      <c r="X472" s="280"/>
      <c r="Y472" s="113" t="s">
        <v>2669</v>
      </c>
      <c r="Z472" s="113"/>
      <c r="AA472" s="275"/>
      <c r="AB472" s="113"/>
      <c r="AC472" s="113"/>
      <c r="AD472" s="113"/>
      <c r="AE472" s="133"/>
      <c r="AG472" s="133"/>
      <c r="AH472" s="133"/>
      <c r="AI472" s="132">
        <f t="shared" si="157"/>
        <v>275881</v>
      </c>
      <c r="AJ472" s="132">
        <f t="shared" si="158"/>
        <v>275881</v>
      </c>
      <c r="AK472" s="133">
        <f t="shared" si="159"/>
        <v>0</v>
      </c>
      <c r="AL472" s="132"/>
      <c r="AM472" s="133" t="s">
        <v>900</v>
      </c>
      <c r="AN472" s="246">
        <v>44842</v>
      </c>
      <c r="AO472" s="137"/>
      <c r="AP472" s="97"/>
      <c r="AQ472" s="97"/>
      <c r="AR472" s="97"/>
      <c r="AS472" s="97"/>
      <c r="AT472" s="97"/>
      <c r="AU472" s="97"/>
      <c r="AV472" s="97"/>
      <c r="AW472" s="97"/>
      <c r="AX472" s="97"/>
      <c r="AY472" s="97"/>
      <c r="AZ472" s="97"/>
      <c r="BA472" s="97"/>
      <c r="BB472" s="97"/>
      <c r="BC472" s="97"/>
      <c r="BD472" s="97"/>
      <c r="BE472" s="97"/>
    </row>
    <row r="473" s="115" customFormat="1" customHeight="1" spans="1:57">
      <c r="A473" s="115" t="s">
        <v>5455</v>
      </c>
      <c r="B473" s="111" t="s">
        <v>5456</v>
      </c>
      <c r="C473" s="554" t="s">
        <v>5457</v>
      </c>
      <c r="D473" s="121" t="s">
        <v>5458</v>
      </c>
      <c r="E473" s="266">
        <v>18790869669</v>
      </c>
      <c r="F473" s="267">
        <v>3</v>
      </c>
      <c r="G473" s="268">
        <v>3934</v>
      </c>
      <c r="H473" s="268">
        <v>33.23</v>
      </c>
      <c r="I473" s="274" t="s">
        <v>2665</v>
      </c>
      <c r="J473" s="113" t="s">
        <v>5459</v>
      </c>
      <c r="K473" s="266">
        <v>38.5</v>
      </c>
      <c r="L473" s="266" t="s">
        <v>2711</v>
      </c>
      <c r="M473" s="275" t="s">
        <v>2941</v>
      </c>
      <c r="N473" s="113" t="s">
        <v>66</v>
      </c>
      <c r="O473" s="113"/>
      <c r="P473" s="113"/>
      <c r="Q473" s="113">
        <v>22167.5324675325</v>
      </c>
      <c r="R473" s="113">
        <v>853450</v>
      </c>
      <c r="S473" s="280">
        <v>436627</v>
      </c>
      <c r="T473" s="281">
        <f t="shared" si="156"/>
        <v>416823</v>
      </c>
      <c r="U473" s="280"/>
      <c r="V473" s="280">
        <v>2159</v>
      </c>
      <c r="W473" s="280">
        <v>550</v>
      </c>
      <c r="X473" s="280"/>
      <c r="Y473" s="113" t="s">
        <v>2669</v>
      </c>
      <c r="Z473" s="113"/>
      <c r="AA473" s="275"/>
      <c r="AB473" s="113"/>
      <c r="AC473" s="113"/>
      <c r="AD473" s="113"/>
      <c r="AE473" s="133"/>
      <c r="AG473" s="133"/>
      <c r="AH473" s="133"/>
      <c r="AI473" s="132">
        <f t="shared" si="157"/>
        <v>439336</v>
      </c>
      <c r="AJ473" s="132">
        <f t="shared" si="158"/>
        <v>439336</v>
      </c>
      <c r="AK473" s="133">
        <f t="shared" si="159"/>
        <v>0</v>
      </c>
      <c r="AL473" s="132"/>
      <c r="AM473" s="133" t="s">
        <v>900</v>
      </c>
      <c r="AN473" s="246">
        <v>44842</v>
      </c>
      <c r="AO473" s="137"/>
      <c r="AP473" s="97"/>
      <c r="AQ473" s="97"/>
      <c r="AR473" s="97"/>
      <c r="AS473" s="97"/>
      <c r="AT473" s="97"/>
      <c r="AU473" s="97"/>
      <c r="AV473" s="97"/>
      <c r="AW473" s="97"/>
      <c r="AX473" s="97"/>
      <c r="AY473" s="97"/>
      <c r="AZ473" s="97"/>
      <c r="BA473" s="97"/>
      <c r="BB473" s="97"/>
      <c r="BC473" s="97"/>
      <c r="BD473" s="97"/>
      <c r="BE473" s="97"/>
    </row>
    <row r="474" s="115" customFormat="1" customHeight="1" spans="1:57">
      <c r="A474" s="115" t="s">
        <v>5460</v>
      </c>
      <c r="B474" s="111" t="s">
        <v>5461</v>
      </c>
      <c r="C474" s="111" t="s">
        <v>5462</v>
      </c>
      <c r="D474" s="121"/>
      <c r="E474" s="266">
        <v>13783639008</v>
      </c>
      <c r="F474" s="267">
        <v>3</v>
      </c>
      <c r="G474" s="268">
        <v>3569</v>
      </c>
      <c r="H474" s="268">
        <v>14.17</v>
      </c>
      <c r="I474" s="274" t="s">
        <v>2657</v>
      </c>
      <c r="J474" s="113" t="s">
        <v>5463</v>
      </c>
      <c r="K474" s="266">
        <v>11.58</v>
      </c>
      <c r="L474" s="266"/>
      <c r="M474" s="275"/>
      <c r="N474" s="113" t="s">
        <v>66</v>
      </c>
      <c r="O474" s="113"/>
      <c r="P474" s="113"/>
      <c r="Q474" s="113">
        <v>31870.5</v>
      </c>
      <c r="R474" s="113">
        <v>451605</v>
      </c>
      <c r="S474" s="280">
        <v>231605</v>
      </c>
      <c r="T474" s="281">
        <f t="shared" si="156"/>
        <v>220000</v>
      </c>
      <c r="U474" s="280"/>
      <c r="V474" s="280">
        <v>921</v>
      </c>
      <c r="W474" s="280">
        <v>550</v>
      </c>
      <c r="X474" s="280"/>
      <c r="Y474" s="113"/>
      <c r="Z474" s="113"/>
      <c r="AA474" s="275"/>
      <c r="AB474" s="113" t="s">
        <v>5464</v>
      </c>
      <c r="AC474" s="113"/>
      <c r="AD474" s="113"/>
      <c r="AE474" s="133"/>
      <c r="AG474" s="133"/>
      <c r="AH474" s="133"/>
      <c r="AI474" s="132">
        <f t="shared" si="157"/>
        <v>233076</v>
      </c>
      <c r="AJ474" s="132">
        <f t="shared" si="158"/>
        <v>233076</v>
      </c>
      <c r="AK474" s="133">
        <f t="shared" si="159"/>
        <v>0</v>
      </c>
      <c r="AL474" s="132"/>
      <c r="AM474" s="133" t="s">
        <v>900</v>
      </c>
      <c r="AN474" s="246">
        <v>44842</v>
      </c>
      <c r="AO474" s="137"/>
      <c r="AP474" s="97"/>
      <c r="AQ474" s="97"/>
      <c r="AR474" s="97"/>
      <c r="AS474" s="97"/>
      <c r="AT474" s="97"/>
      <c r="AU474" s="97"/>
      <c r="AV474" s="97"/>
      <c r="AW474" s="97"/>
      <c r="AX474" s="97"/>
      <c r="AY474" s="97"/>
      <c r="AZ474" s="97"/>
      <c r="BA474" s="97"/>
      <c r="BB474" s="97"/>
      <c r="BC474" s="97"/>
      <c r="BD474" s="97"/>
      <c r="BE474" s="97"/>
    </row>
    <row r="475" s="115" customFormat="1" customHeight="1" spans="1:58">
      <c r="A475" s="115" t="s">
        <v>5465</v>
      </c>
      <c r="B475" s="111" t="s">
        <v>5466</v>
      </c>
      <c r="C475" s="554" t="s">
        <v>5467</v>
      </c>
      <c r="D475" s="121" t="s">
        <v>5468</v>
      </c>
      <c r="E475" s="266">
        <v>13803818453</v>
      </c>
      <c r="F475" s="267">
        <v>4</v>
      </c>
      <c r="G475" s="268">
        <v>4143</v>
      </c>
      <c r="H475" s="268">
        <v>26.04</v>
      </c>
      <c r="I475" s="274" t="s">
        <v>2665</v>
      </c>
      <c r="J475" s="113" t="s">
        <v>5469</v>
      </c>
      <c r="K475" s="266">
        <v>28.3</v>
      </c>
      <c r="L475" s="266" t="s">
        <v>2711</v>
      </c>
      <c r="M475" s="275" t="s">
        <v>5470</v>
      </c>
      <c r="N475" s="113" t="s">
        <v>66</v>
      </c>
      <c r="O475" s="113"/>
      <c r="P475" s="113"/>
      <c r="Q475" s="113">
        <v>21375.76</v>
      </c>
      <c r="R475" s="113">
        <v>604934</v>
      </c>
      <c r="S475" s="280">
        <v>304934</v>
      </c>
      <c r="T475" s="281">
        <v>300000</v>
      </c>
      <c r="U475" s="280"/>
      <c r="V475" s="280">
        <v>1692</v>
      </c>
      <c r="W475" s="280">
        <v>550</v>
      </c>
      <c r="X475" s="280"/>
      <c r="Y475" s="113"/>
      <c r="Z475" s="113"/>
      <c r="AA475" s="275"/>
      <c r="AB475" s="113"/>
      <c r="AC475" s="113"/>
      <c r="AD475" s="113"/>
      <c r="AE475" s="113"/>
      <c r="AG475" s="133"/>
      <c r="AH475" s="133"/>
      <c r="AI475" s="132">
        <f t="shared" si="157"/>
        <v>307176</v>
      </c>
      <c r="AJ475" s="132">
        <f t="shared" si="158"/>
        <v>307176</v>
      </c>
      <c r="AK475" s="133">
        <f t="shared" si="159"/>
        <v>0</v>
      </c>
      <c r="AL475" s="132" t="s">
        <v>5471</v>
      </c>
      <c r="AM475" s="133" t="s">
        <v>854</v>
      </c>
      <c r="AN475" s="246">
        <v>44842</v>
      </c>
      <c r="AO475" s="288"/>
      <c r="AP475" s="288"/>
      <c r="AQ475" s="97"/>
      <c r="AR475" s="97"/>
      <c r="AS475" s="97"/>
      <c r="AT475" s="97"/>
      <c r="AU475" s="97"/>
      <c r="AV475" s="97"/>
      <c r="AW475" s="97"/>
      <c r="AX475" s="97"/>
      <c r="AY475" s="97"/>
      <c r="AZ475" s="97"/>
      <c r="BA475" s="97"/>
      <c r="BB475" s="97"/>
      <c r="BC475" s="97"/>
      <c r="BD475" s="97"/>
      <c r="BE475" s="97"/>
      <c r="BF475" s="97"/>
    </row>
    <row r="476" s="115" customFormat="1" customHeight="1" spans="1:57">
      <c r="A476" s="115" t="s">
        <v>5472</v>
      </c>
      <c r="B476" s="111" t="s">
        <v>1019</v>
      </c>
      <c r="C476" s="111" t="s">
        <v>5473</v>
      </c>
      <c r="D476" s="121" t="s">
        <v>5474</v>
      </c>
      <c r="E476" s="266">
        <v>15603801634</v>
      </c>
      <c r="F476" s="267">
        <v>4</v>
      </c>
      <c r="G476" s="268">
        <v>4137</v>
      </c>
      <c r="H476" s="268">
        <v>7.53</v>
      </c>
      <c r="I476" s="274" t="s">
        <v>2665</v>
      </c>
      <c r="J476" s="113" t="s">
        <v>5475</v>
      </c>
      <c r="K476" s="266">
        <v>16.73</v>
      </c>
      <c r="L476" s="266" t="s">
        <v>2711</v>
      </c>
      <c r="M476" s="275" t="s">
        <v>4028</v>
      </c>
      <c r="N476" s="113" t="s">
        <v>56</v>
      </c>
      <c r="O476" s="113"/>
      <c r="P476" s="113"/>
      <c r="Q476" s="113">
        <v>19613.5684399283</v>
      </c>
      <c r="R476" s="113">
        <v>328135</v>
      </c>
      <c r="S476" s="280">
        <v>328135</v>
      </c>
      <c r="T476" s="281">
        <v>0</v>
      </c>
      <c r="U476" s="280"/>
      <c r="V476" s="280"/>
      <c r="W476" s="280"/>
      <c r="X476" s="280"/>
      <c r="Y476" s="113"/>
      <c r="Z476" s="113"/>
      <c r="AA476" s="275"/>
      <c r="AB476" s="113"/>
      <c r="AC476" s="113"/>
      <c r="AD476" s="113"/>
      <c r="AE476" s="133"/>
      <c r="AG476" s="133"/>
      <c r="AH476" s="133"/>
      <c r="AI476" s="132">
        <f t="shared" si="157"/>
        <v>328135</v>
      </c>
      <c r="AJ476" s="132">
        <f t="shared" si="158"/>
        <v>328135</v>
      </c>
      <c r="AK476" s="133">
        <f t="shared" si="159"/>
        <v>0</v>
      </c>
      <c r="AL476" s="132"/>
      <c r="AM476" s="133" t="s">
        <v>854</v>
      </c>
      <c r="AN476" s="246">
        <v>44842</v>
      </c>
      <c r="AO476" s="137"/>
      <c r="AP476" s="97"/>
      <c r="AQ476" s="97"/>
      <c r="AR476" s="97"/>
      <c r="AS476" s="97"/>
      <c r="AT476" s="97"/>
      <c r="AU476" s="97"/>
      <c r="AV476" s="97"/>
      <c r="AW476" s="97"/>
      <c r="AX476" s="97"/>
      <c r="AY476" s="97"/>
      <c r="AZ476" s="97"/>
      <c r="BA476" s="97"/>
      <c r="BB476" s="97"/>
      <c r="BC476" s="97"/>
      <c r="BD476" s="97"/>
      <c r="BE476" s="97"/>
    </row>
    <row r="477" s="115" customFormat="1" customHeight="1" spans="1:57">
      <c r="A477" s="115" t="s">
        <v>5476</v>
      </c>
      <c r="B477" s="111" t="s">
        <v>5477</v>
      </c>
      <c r="C477" s="111" t="s">
        <v>5478</v>
      </c>
      <c r="D477" s="121" t="s">
        <v>5479</v>
      </c>
      <c r="E477" s="266">
        <v>18237192368</v>
      </c>
      <c r="F477" s="267">
        <v>3</v>
      </c>
      <c r="G477" s="268">
        <v>3602</v>
      </c>
      <c r="H477" s="268">
        <v>16.33</v>
      </c>
      <c r="I477" s="274" t="s">
        <v>2657</v>
      </c>
      <c r="J477" s="113" t="s">
        <v>5480</v>
      </c>
      <c r="K477" s="266">
        <v>13.82</v>
      </c>
      <c r="L477" s="266" t="s">
        <v>2961</v>
      </c>
      <c r="M477" s="275" t="s">
        <v>3911</v>
      </c>
      <c r="N477" s="113" t="s">
        <v>66</v>
      </c>
      <c r="O477" s="113"/>
      <c r="P477" s="113"/>
      <c r="Q477" s="113">
        <v>32085.09</v>
      </c>
      <c r="R477" s="113">
        <v>443416</v>
      </c>
      <c r="S477" s="280">
        <v>223416</v>
      </c>
      <c r="T477" s="281">
        <v>220000</v>
      </c>
      <c r="U477" s="280"/>
      <c r="V477" s="280"/>
      <c r="W477" s="280"/>
      <c r="X477" s="280"/>
      <c r="Y477" s="113"/>
      <c r="Z477" s="113"/>
      <c r="AA477" s="275"/>
      <c r="AB477" s="113"/>
      <c r="AC477" s="113"/>
      <c r="AD477" s="113"/>
      <c r="AE477" s="133"/>
      <c r="AG477" s="133"/>
      <c r="AH477" s="133"/>
      <c r="AI477" s="132">
        <f t="shared" si="157"/>
        <v>223416</v>
      </c>
      <c r="AJ477" s="132">
        <f t="shared" si="158"/>
        <v>223416</v>
      </c>
      <c r="AK477" s="133">
        <f t="shared" si="159"/>
        <v>0</v>
      </c>
      <c r="AL477" s="132"/>
      <c r="AM477" s="133" t="s">
        <v>854</v>
      </c>
      <c r="AN477" s="246">
        <v>44842</v>
      </c>
      <c r="AO477" s="137"/>
      <c r="AP477" s="97"/>
      <c r="AQ477" s="97"/>
      <c r="AR477" s="97"/>
      <c r="AS477" s="97"/>
      <c r="AT477" s="97"/>
      <c r="AU477" s="97"/>
      <c r="AV477" s="97"/>
      <c r="AW477" s="97"/>
      <c r="AX477" s="97"/>
      <c r="AY477" s="97"/>
      <c r="AZ477" s="97"/>
      <c r="BA477" s="97"/>
      <c r="BB477" s="97"/>
      <c r="BC477" s="97"/>
      <c r="BD477" s="97"/>
      <c r="BE477" s="97"/>
    </row>
    <row r="478" s="115" customFormat="1" customHeight="1" spans="1:57">
      <c r="A478" s="115" t="s">
        <v>5481</v>
      </c>
      <c r="B478" s="111" t="s">
        <v>5482</v>
      </c>
      <c r="C478" s="554" t="s">
        <v>5483</v>
      </c>
      <c r="D478" s="121" t="s">
        <v>5484</v>
      </c>
      <c r="E478" s="266">
        <v>17760735888</v>
      </c>
      <c r="F478" s="267">
        <v>4</v>
      </c>
      <c r="G478" s="268">
        <v>4148</v>
      </c>
      <c r="H478" s="268">
        <v>36.5</v>
      </c>
      <c r="I478" s="274" t="s">
        <v>2665</v>
      </c>
      <c r="J478" s="113" t="s">
        <v>5485</v>
      </c>
      <c r="K478" s="266">
        <v>37.1</v>
      </c>
      <c r="L478" s="266" t="s">
        <v>2799</v>
      </c>
      <c r="M478" s="275" t="s">
        <v>5273</v>
      </c>
      <c r="N478" s="113" t="s">
        <v>66</v>
      </c>
      <c r="O478" s="113"/>
      <c r="P478" s="113"/>
      <c r="Q478" s="113">
        <v>20665.85</v>
      </c>
      <c r="R478" s="113">
        <v>754304</v>
      </c>
      <c r="S478" s="280">
        <v>384304</v>
      </c>
      <c r="T478" s="281">
        <f>R478-S478</f>
        <v>370000</v>
      </c>
      <c r="U478" s="280"/>
      <c r="V478" s="280">
        <v>2372</v>
      </c>
      <c r="W478" s="280">
        <v>550</v>
      </c>
      <c r="X478" s="280"/>
      <c r="Y478" s="113" t="s">
        <v>2669</v>
      </c>
      <c r="Z478" s="113" t="s">
        <v>48</v>
      </c>
      <c r="AA478" s="275">
        <v>44124</v>
      </c>
      <c r="AB478" s="113" t="s">
        <v>5486</v>
      </c>
      <c r="AC478" s="113"/>
      <c r="AD478" s="113"/>
      <c r="AE478" s="133"/>
      <c r="AG478" s="133"/>
      <c r="AH478" s="133"/>
      <c r="AI478" s="132">
        <f t="shared" si="157"/>
        <v>387226</v>
      </c>
      <c r="AJ478" s="132">
        <f t="shared" si="158"/>
        <v>387226</v>
      </c>
      <c r="AK478" s="133">
        <f t="shared" si="159"/>
        <v>0</v>
      </c>
      <c r="AL478" s="132"/>
      <c r="AM478" s="133" t="s">
        <v>900</v>
      </c>
      <c r="AN478" s="246">
        <v>44842</v>
      </c>
      <c r="AO478" s="137"/>
      <c r="AP478" s="97"/>
      <c r="AQ478" s="97"/>
      <c r="AR478" s="97"/>
      <c r="AS478" s="97"/>
      <c r="AT478" s="97"/>
      <c r="AU478" s="97"/>
      <c r="AV478" s="97"/>
      <c r="AW478" s="97"/>
      <c r="AX478" s="97"/>
      <c r="AY478" s="97"/>
      <c r="AZ478" s="97"/>
      <c r="BA478" s="97"/>
      <c r="BB478" s="97"/>
      <c r="BC478" s="97"/>
      <c r="BD478" s="97"/>
      <c r="BE478" s="97"/>
    </row>
    <row r="479" s="115" customFormat="1" customHeight="1" spans="1:57">
      <c r="A479" s="115" t="s">
        <v>5487</v>
      </c>
      <c r="B479" s="111" t="s">
        <v>5488</v>
      </c>
      <c r="C479" s="111" t="s">
        <v>5489</v>
      </c>
      <c r="D479" s="121" t="s">
        <v>5490</v>
      </c>
      <c r="E479" s="266" t="s">
        <v>5491</v>
      </c>
      <c r="F479" s="267">
        <v>4</v>
      </c>
      <c r="G479" s="268">
        <v>4438</v>
      </c>
      <c r="H479" s="268">
        <v>26.6</v>
      </c>
      <c r="I479" s="274" t="s">
        <v>2665</v>
      </c>
      <c r="J479" s="113" t="s">
        <v>5492</v>
      </c>
      <c r="K479" s="266">
        <v>31.53</v>
      </c>
      <c r="L479" s="266" t="s">
        <v>5023</v>
      </c>
      <c r="M479" s="275" t="s">
        <v>5493</v>
      </c>
      <c r="N479" s="113" t="s">
        <v>56</v>
      </c>
      <c r="O479" s="113"/>
      <c r="P479" s="113"/>
      <c r="Q479" s="113">
        <v>20549.44</v>
      </c>
      <c r="R479" s="113">
        <v>546615</v>
      </c>
      <c r="S479" s="280">
        <v>546615</v>
      </c>
      <c r="T479" s="281">
        <v>0</v>
      </c>
      <c r="U479" s="280"/>
      <c r="V479" s="280">
        <v>1729</v>
      </c>
      <c r="W479" s="280">
        <v>550</v>
      </c>
      <c r="X479" s="280">
        <v>99030</v>
      </c>
      <c r="Y479" s="113" t="s">
        <v>2669</v>
      </c>
      <c r="Z479" s="113"/>
      <c r="AA479" s="275"/>
      <c r="AB479" s="113"/>
      <c r="AC479" s="113"/>
      <c r="AD479" s="113"/>
      <c r="AE479" s="133"/>
      <c r="AG479" s="133"/>
      <c r="AH479" s="133"/>
      <c r="AI479" s="132">
        <f t="shared" si="157"/>
        <v>647924</v>
      </c>
      <c r="AJ479" s="132">
        <f t="shared" si="158"/>
        <v>647924</v>
      </c>
      <c r="AK479" s="133">
        <f t="shared" si="159"/>
        <v>0</v>
      </c>
      <c r="AL479" s="132"/>
      <c r="AM479" s="133" t="s">
        <v>974</v>
      </c>
      <c r="AN479" s="246">
        <v>44842</v>
      </c>
      <c r="AO479" s="137"/>
      <c r="AP479" s="97"/>
      <c r="AQ479" s="97"/>
      <c r="AR479" s="97"/>
      <c r="AS479" s="97"/>
      <c r="AT479" s="97"/>
      <c r="AU479" s="97"/>
      <c r="AV479" s="97"/>
      <c r="AW479" s="97"/>
      <c r="AX479" s="97"/>
      <c r="AY479" s="97"/>
      <c r="AZ479" s="97"/>
      <c r="BA479" s="97"/>
      <c r="BB479" s="97"/>
      <c r="BC479" s="97"/>
      <c r="BD479" s="97"/>
      <c r="BE479" s="97"/>
    </row>
    <row r="480" s="115" customFormat="1" customHeight="1" spans="1:57">
      <c r="A480" s="115" t="s">
        <v>5494</v>
      </c>
      <c r="B480" s="111" t="s">
        <v>5495</v>
      </c>
      <c r="C480" s="554" t="s">
        <v>5496</v>
      </c>
      <c r="D480" s="121" t="s">
        <v>5497</v>
      </c>
      <c r="E480" s="266">
        <v>13569960788</v>
      </c>
      <c r="F480" s="267">
        <v>1</v>
      </c>
      <c r="G480" s="268">
        <v>1796</v>
      </c>
      <c r="H480" s="268">
        <v>23.62</v>
      </c>
      <c r="I480" s="274" t="s">
        <v>2657</v>
      </c>
      <c r="J480" s="113" t="s">
        <v>5498</v>
      </c>
      <c r="K480" s="266">
        <v>21.77</v>
      </c>
      <c r="L480" s="266" t="s">
        <v>3634</v>
      </c>
      <c r="M480" s="275" t="s">
        <v>3117</v>
      </c>
      <c r="N480" s="113" t="s">
        <v>2677</v>
      </c>
      <c r="O480" s="113"/>
      <c r="P480" s="113"/>
      <c r="Q480" s="113">
        <v>46853.47</v>
      </c>
      <c r="R480" s="113">
        <v>1020000</v>
      </c>
      <c r="S480" s="280">
        <v>520000</v>
      </c>
      <c r="T480" s="281">
        <v>500000</v>
      </c>
      <c r="U480" s="280"/>
      <c r="V480" s="280"/>
      <c r="W480" s="280"/>
      <c r="X480" s="280"/>
      <c r="Y480" s="113"/>
      <c r="Z480" s="113"/>
      <c r="AA480" s="275"/>
      <c r="AB480" s="113"/>
      <c r="AC480" s="113"/>
      <c r="AD480" s="113"/>
      <c r="AE480" s="133">
        <v>190</v>
      </c>
      <c r="AG480" s="133"/>
      <c r="AH480" s="133"/>
      <c r="AI480" s="132">
        <f t="shared" si="157"/>
        <v>520190</v>
      </c>
      <c r="AJ480" s="132">
        <f t="shared" si="158"/>
        <v>520000</v>
      </c>
      <c r="AK480" s="133">
        <f t="shared" si="159"/>
        <v>190</v>
      </c>
      <c r="AL480" s="132" t="s">
        <v>5499</v>
      </c>
      <c r="AM480" s="133" t="s">
        <v>974</v>
      </c>
      <c r="AN480" s="246">
        <v>44842</v>
      </c>
      <c r="AO480" s="137" t="s">
        <v>4637</v>
      </c>
      <c r="AP480" s="97"/>
      <c r="AQ480" s="97"/>
      <c r="AR480" s="97"/>
      <c r="AS480" s="97"/>
      <c r="AT480" s="97"/>
      <c r="AU480" s="97"/>
      <c r="AV480" s="97"/>
      <c r="AW480" s="97"/>
      <c r="AX480" s="97"/>
      <c r="AY480" s="97"/>
      <c r="AZ480" s="97"/>
      <c r="BA480" s="97"/>
      <c r="BB480" s="97"/>
      <c r="BC480" s="97"/>
      <c r="BD480" s="97"/>
      <c r="BE480" s="97"/>
    </row>
    <row r="481" s="115" customFormat="1" customHeight="1" spans="1:57">
      <c r="A481" s="115" t="s">
        <v>5500</v>
      </c>
      <c r="B481" s="111" t="s">
        <v>5501</v>
      </c>
      <c r="C481" s="554" t="s">
        <v>5502</v>
      </c>
      <c r="D481" s="121" t="s">
        <v>5503</v>
      </c>
      <c r="E481" s="266">
        <v>18137083736</v>
      </c>
      <c r="F481" s="267">
        <v>1</v>
      </c>
      <c r="G481" s="268">
        <v>1699</v>
      </c>
      <c r="H481" s="268">
        <v>16.07</v>
      </c>
      <c r="I481" s="274" t="s">
        <v>2657</v>
      </c>
      <c r="J481" s="113" t="s">
        <v>5504</v>
      </c>
      <c r="K481" s="266">
        <v>16.63</v>
      </c>
      <c r="L481" s="266" t="s">
        <v>5505</v>
      </c>
      <c r="M481" s="275" t="s">
        <v>5505</v>
      </c>
      <c r="N481" s="113" t="s">
        <v>66</v>
      </c>
      <c r="O481" s="113"/>
      <c r="P481" s="113"/>
      <c r="Q481" s="113">
        <v>48005.59</v>
      </c>
      <c r="R481" s="113">
        <v>798333</v>
      </c>
      <c r="S481" s="280">
        <v>408333</v>
      </c>
      <c r="T481" s="281">
        <f>R481-S481</f>
        <v>390000</v>
      </c>
      <c r="U481" s="280"/>
      <c r="V481" s="280"/>
      <c r="W481" s="280"/>
      <c r="X481" s="280"/>
      <c r="Y481" s="113"/>
      <c r="Z481" s="113"/>
      <c r="AA481" s="275"/>
      <c r="AB481" s="113"/>
      <c r="AC481" s="113"/>
      <c r="AD481" s="113"/>
      <c r="AE481" s="133"/>
      <c r="AG481" s="133"/>
      <c r="AH481" s="133"/>
      <c r="AI481" s="132">
        <f t="shared" ref="AI481:AI492" si="160">S481+U481+V481+W481+X481+AC481+AD481+AE481</f>
        <v>408333</v>
      </c>
      <c r="AJ481" s="132">
        <f t="shared" ref="AJ481:AJ492" si="161">S481+U481+V481+W481+X481</f>
        <v>408333</v>
      </c>
      <c r="AK481" s="133">
        <f t="shared" ref="AK481:AK492" si="162">AI481-AJ481</f>
        <v>0</v>
      </c>
      <c r="AL481" s="132"/>
      <c r="AM481" s="133" t="s">
        <v>900</v>
      </c>
      <c r="AN481" s="246">
        <v>44842</v>
      </c>
      <c r="AO481" s="137"/>
      <c r="AP481" s="97"/>
      <c r="AQ481" s="97"/>
      <c r="AR481" s="97"/>
      <c r="AS481" s="97"/>
      <c r="AT481" s="97"/>
      <c r="AU481" s="97"/>
      <c r="AV481" s="97"/>
      <c r="AW481" s="97"/>
      <c r="AX481" s="97"/>
      <c r="AY481" s="97"/>
      <c r="AZ481" s="97"/>
      <c r="BA481" s="97"/>
      <c r="BB481" s="97"/>
      <c r="BC481" s="97"/>
      <c r="BD481" s="97"/>
      <c r="BE481" s="97"/>
    </row>
    <row r="482" s="115" customFormat="1" customHeight="1" spans="1:57">
      <c r="A482" s="115" t="s">
        <v>5506</v>
      </c>
      <c r="B482" s="111" t="s">
        <v>5507</v>
      </c>
      <c r="C482" s="111" t="s">
        <v>5508</v>
      </c>
      <c r="D482" s="121" t="s">
        <v>5509</v>
      </c>
      <c r="E482" s="266">
        <v>15890119212</v>
      </c>
      <c r="F482" s="267">
        <v>4</v>
      </c>
      <c r="G482" s="268">
        <v>4406</v>
      </c>
      <c r="H482" s="268">
        <v>10.8</v>
      </c>
      <c r="I482" s="274" t="s">
        <v>2657</v>
      </c>
      <c r="J482" s="113" t="s">
        <v>5510</v>
      </c>
      <c r="K482" s="266">
        <v>18.13</v>
      </c>
      <c r="L482" s="266" t="s">
        <v>3858</v>
      </c>
      <c r="M482" s="275" t="s">
        <v>2814</v>
      </c>
      <c r="N482" s="113" t="s">
        <v>56</v>
      </c>
      <c r="O482" s="113"/>
      <c r="P482" s="113"/>
      <c r="Q482" s="113">
        <v>26899.63</v>
      </c>
      <c r="R482" s="113">
        <v>290516</v>
      </c>
      <c r="S482" s="280">
        <v>290516</v>
      </c>
      <c r="T482" s="281">
        <f>R482-S482</f>
        <v>0</v>
      </c>
      <c r="U482" s="280"/>
      <c r="V482" s="280">
        <v>702</v>
      </c>
      <c r="W482" s="280">
        <v>550</v>
      </c>
      <c r="X482" s="280"/>
      <c r="Y482" s="113" t="s">
        <v>2669</v>
      </c>
      <c r="Z482" s="113" t="s">
        <v>48</v>
      </c>
      <c r="AA482" s="275">
        <v>44019</v>
      </c>
      <c r="AB482" s="113"/>
      <c r="AC482" s="113">
        <v>1230</v>
      </c>
      <c r="AD482" s="113"/>
      <c r="AE482" s="133"/>
      <c r="AG482" s="133"/>
      <c r="AH482" s="133"/>
      <c r="AI482" s="132">
        <f t="shared" si="160"/>
        <v>292998</v>
      </c>
      <c r="AJ482" s="132">
        <f t="shared" si="161"/>
        <v>291768</v>
      </c>
      <c r="AK482" s="133">
        <f t="shared" si="162"/>
        <v>1230</v>
      </c>
      <c r="AL482" s="132"/>
      <c r="AM482" s="133" t="s">
        <v>900</v>
      </c>
      <c r="AN482" s="246">
        <v>44842</v>
      </c>
      <c r="AO482" s="137"/>
      <c r="AP482" s="97"/>
      <c r="AQ482" s="97"/>
      <c r="AR482" s="97"/>
      <c r="AS482" s="97"/>
      <c r="AT482" s="97"/>
      <c r="AU482" s="97"/>
      <c r="AV482" s="97"/>
      <c r="AW482" s="97"/>
      <c r="AX482" s="97"/>
      <c r="AY482" s="97"/>
      <c r="AZ482" s="97"/>
      <c r="BA482" s="97"/>
      <c r="BB482" s="97"/>
      <c r="BC482" s="97"/>
      <c r="BD482" s="97"/>
      <c r="BE482" s="97"/>
    </row>
    <row r="483" s="115" customFormat="1" customHeight="1" spans="1:57">
      <c r="A483" s="115" t="s">
        <v>5511</v>
      </c>
      <c r="B483" s="111" t="s">
        <v>5512</v>
      </c>
      <c r="C483" s="554" t="s">
        <v>5513</v>
      </c>
      <c r="D483" s="121" t="s">
        <v>5514</v>
      </c>
      <c r="E483" s="266">
        <v>15093391565</v>
      </c>
      <c r="F483" s="267">
        <v>1</v>
      </c>
      <c r="G483" s="268">
        <v>171</v>
      </c>
      <c r="H483" s="268">
        <v>14.19</v>
      </c>
      <c r="I483" s="274" t="s">
        <v>2657</v>
      </c>
      <c r="J483" s="113" t="s">
        <v>5515</v>
      </c>
      <c r="K483" s="266">
        <v>13.73</v>
      </c>
      <c r="L483" s="266" t="s">
        <v>3408</v>
      </c>
      <c r="M483" s="275" t="s">
        <v>3577</v>
      </c>
      <c r="N483" s="113" t="s">
        <v>66</v>
      </c>
      <c r="O483" s="113"/>
      <c r="P483" s="113"/>
      <c r="Q483" s="113">
        <v>47730.66</v>
      </c>
      <c r="R483" s="113">
        <v>655342</v>
      </c>
      <c r="S483" s="280">
        <v>335342</v>
      </c>
      <c r="T483" s="281">
        <v>320000</v>
      </c>
      <c r="U483" s="280"/>
      <c r="V483" s="280"/>
      <c r="W483" s="280"/>
      <c r="X483" s="280"/>
      <c r="Y483" s="113"/>
      <c r="Z483" s="113"/>
      <c r="AA483" s="275"/>
      <c r="AB483" s="113"/>
      <c r="AC483" s="113"/>
      <c r="AD483" s="113"/>
      <c r="AE483" s="133"/>
      <c r="AG483" s="133"/>
      <c r="AH483" s="133"/>
      <c r="AI483" s="132">
        <f t="shared" si="160"/>
        <v>335342</v>
      </c>
      <c r="AJ483" s="132">
        <f t="shared" si="161"/>
        <v>335342</v>
      </c>
      <c r="AK483" s="133">
        <f t="shared" si="162"/>
        <v>0</v>
      </c>
      <c r="AL483" s="132"/>
      <c r="AM483" s="133" t="s">
        <v>854</v>
      </c>
      <c r="AN483" s="246">
        <v>44842</v>
      </c>
      <c r="AO483" s="137"/>
      <c r="AP483" s="97"/>
      <c r="AQ483" s="97"/>
      <c r="AR483" s="97"/>
      <c r="AS483" s="97"/>
      <c r="AT483" s="97"/>
      <c r="AU483" s="97"/>
      <c r="AV483" s="97"/>
      <c r="AW483" s="97"/>
      <c r="AX483" s="97"/>
      <c r="AY483" s="97"/>
      <c r="AZ483" s="97"/>
      <c r="BA483" s="97"/>
      <c r="BB483" s="97"/>
      <c r="BC483" s="97"/>
      <c r="BD483" s="97"/>
      <c r="BE483" s="97"/>
    </row>
    <row r="484" s="115" customFormat="1" customHeight="1" spans="1:57">
      <c r="A484" s="115" t="s">
        <v>5516</v>
      </c>
      <c r="B484" s="111" t="s">
        <v>5517</v>
      </c>
      <c r="C484" s="554" t="s">
        <v>5518</v>
      </c>
      <c r="D484" s="121" t="s">
        <v>5519</v>
      </c>
      <c r="E484" s="266">
        <v>18039570227</v>
      </c>
      <c r="F484" s="267">
        <v>4</v>
      </c>
      <c r="G484" s="268">
        <v>4290</v>
      </c>
      <c r="H484" s="268">
        <v>12.73</v>
      </c>
      <c r="I484" s="274" t="s">
        <v>2657</v>
      </c>
      <c r="J484" s="113" t="s">
        <v>5520</v>
      </c>
      <c r="K484" s="266">
        <v>11.4</v>
      </c>
      <c r="L484" s="266" t="s">
        <v>3096</v>
      </c>
      <c r="M484" s="275" t="s">
        <v>2806</v>
      </c>
      <c r="N484" s="113" t="s">
        <v>66</v>
      </c>
      <c r="O484" s="113"/>
      <c r="P484" s="113"/>
      <c r="Q484" s="113">
        <v>26024.82</v>
      </c>
      <c r="R484" s="113">
        <v>296683</v>
      </c>
      <c r="S484" s="280">
        <v>156683</v>
      </c>
      <c r="T484" s="281">
        <f>R484-S484</f>
        <v>140000</v>
      </c>
      <c r="U484" s="280"/>
      <c r="V484" s="280"/>
      <c r="W484" s="280"/>
      <c r="X484" s="280"/>
      <c r="Y484" s="113"/>
      <c r="Z484" s="113"/>
      <c r="AA484" s="275"/>
      <c r="AB484" s="113"/>
      <c r="AC484" s="113"/>
      <c r="AD484" s="113"/>
      <c r="AE484" s="133"/>
      <c r="AG484" s="133"/>
      <c r="AH484" s="133"/>
      <c r="AI484" s="132">
        <f t="shared" si="160"/>
        <v>156683</v>
      </c>
      <c r="AJ484" s="132">
        <f t="shared" si="161"/>
        <v>156683</v>
      </c>
      <c r="AK484" s="133">
        <f t="shared" si="162"/>
        <v>0</v>
      </c>
      <c r="AL484" s="132"/>
      <c r="AM484" s="133" t="s">
        <v>900</v>
      </c>
      <c r="AN484" s="246">
        <v>44842</v>
      </c>
      <c r="AO484" s="137"/>
      <c r="AP484" s="97"/>
      <c r="AQ484" s="97"/>
      <c r="AR484" s="97"/>
      <c r="AS484" s="97"/>
      <c r="AT484" s="97"/>
      <c r="AU484" s="97"/>
      <c r="AV484" s="97"/>
      <c r="AW484" s="97"/>
      <c r="AX484" s="97"/>
      <c r="AY484" s="97"/>
      <c r="AZ484" s="97"/>
      <c r="BA484" s="97"/>
      <c r="BB484" s="97"/>
      <c r="BC484" s="97"/>
      <c r="BD484" s="97"/>
      <c r="BE484" s="97"/>
    </row>
    <row r="485" s="115" customFormat="1" customHeight="1" spans="1:57">
      <c r="A485" s="115" t="s">
        <v>5521</v>
      </c>
      <c r="B485" s="111" t="s">
        <v>5522</v>
      </c>
      <c r="C485" s="554" t="s">
        <v>5523</v>
      </c>
      <c r="D485" s="121" t="s">
        <v>5524</v>
      </c>
      <c r="E485" s="266">
        <v>13526683375</v>
      </c>
      <c r="F485" s="267">
        <v>1</v>
      </c>
      <c r="G485" s="268">
        <v>140</v>
      </c>
      <c r="H485" s="268">
        <v>20.06</v>
      </c>
      <c r="I485" s="274" t="s">
        <v>2657</v>
      </c>
      <c r="J485" s="113" t="s">
        <v>5525</v>
      </c>
      <c r="K485" s="266">
        <v>20.5</v>
      </c>
      <c r="L485" s="266" t="s">
        <v>2659</v>
      </c>
      <c r="M485" s="275" t="s">
        <v>2869</v>
      </c>
      <c r="N485" s="113" t="s">
        <v>66</v>
      </c>
      <c r="O485" s="113"/>
      <c r="P485" s="113"/>
      <c r="Q485" s="113">
        <v>47744.68</v>
      </c>
      <c r="R485" s="113">
        <v>957758</v>
      </c>
      <c r="S485" s="280">
        <v>507758</v>
      </c>
      <c r="T485" s="281"/>
      <c r="U485" s="280">
        <v>450000</v>
      </c>
      <c r="V485" s="280">
        <v>1303</v>
      </c>
      <c r="W485" s="280">
        <v>550</v>
      </c>
      <c r="X485" s="280"/>
      <c r="Y485" s="113" t="s">
        <v>2669</v>
      </c>
      <c r="Z485" s="113" t="s">
        <v>48</v>
      </c>
      <c r="AA485" s="275">
        <v>44022</v>
      </c>
      <c r="AB485" s="113"/>
      <c r="AC485" s="113">
        <v>1265</v>
      </c>
      <c r="AD485" s="113"/>
      <c r="AE485" s="133"/>
      <c r="AG485" s="133"/>
      <c r="AH485" s="133"/>
      <c r="AI485" s="132">
        <f t="shared" si="160"/>
        <v>960876</v>
      </c>
      <c r="AJ485" s="132">
        <f t="shared" si="161"/>
        <v>959611</v>
      </c>
      <c r="AK485" s="133">
        <f t="shared" si="162"/>
        <v>1265</v>
      </c>
      <c r="AL485" s="132"/>
      <c r="AM485" s="133" t="s">
        <v>900</v>
      </c>
      <c r="AN485" s="246">
        <v>44842</v>
      </c>
      <c r="AO485" s="137"/>
      <c r="AP485" s="97"/>
      <c r="AQ485" s="97"/>
      <c r="AR485" s="97"/>
      <c r="AS485" s="97"/>
      <c r="AT485" s="97"/>
      <c r="AU485" s="97"/>
      <c r="AV485" s="97"/>
      <c r="AW485" s="97"/>
      <c r="AX485" s="97"/>
      <c r="AY485" s="97"/>
      <c r="AZ485" s="97"/>
      <c r="BA485" s="97"/>
      <c r="BB485" s="97"/>
      <c r="BC485" s="97"/>
      <c r="BD485" s="97"/>
      <c r="BE485" s="97"/>
    </row>
    <row r="486" s="115" customFormat="1" customHeight="1" spans="1:57">
      <c r="A486" s="115" t="s">
        <v>5526</v>
      </c>
      <c r="B486" s="111" t="s">
        <v>5527</v>
      </c>
      <c r="C486" s="554" t="s">
        <v>5528</v>
      </c>
      <c r="D486" s="121" t="s">
        <v>5529</v>
      </c>
      <c r="E486" s="266">
        <v>15503713672</v>
      </c>
      <c r="F486" s="267">
        <v>1</v>
      </c>
      <c r="G486" s="268">
        <v>1169</v>
      </c>
      <c r="H486" s="268">
        <v>16.63</v>
      </c>
      <c r="I486" s="274" t="s">
        <v>2657</v>
      </c>
      <c r="J486" s="113" t="s">
        <v>5530</v>
      </c>
      <c r="K486" s="266">
        <v>20.75</v>
      </c>
      <c r="L486" s="266" t="s">
        <v>3793</v>
      </c>
      <c r="M486" s="275" t="s">
        <v>3824</v>
      </c>
      <c r="N486" s="113" t="s">
        <v>56</v>
      </c>
      <c r="O486" s="113"/>
      <c r="P486" s="113"/>
      <c r="Q486" s="113">
        <v>46670.51</v>
      </c>
      <c r="R486" s="113">
        <v>776131</v>
      </c>
      <c r="S486" s="280">
        <v>776131</v>
      </c>
      <c r="T486" s="281">
        <f>R486-S486</f>
        <v>0</v>
      </c>
      <c r="U486" s="280"/>
      <c r="V486" s="280">
        <v>1080</v>
      </c>
      <c r="W486" s="280">
        <v>560</v>
      </c>
      <c r="X486" s="280">
        <v>190642</v>
      </c>
      <c r="Y486" s="113" t="s">
        <v>2669</v>
      </c>
      <c r="Z486" s="113" t="s">
        <v>48</v>
      </c>
      <c r="AA486" s="275">
        <v>44186</v>
      </c>
      <c r="AB486" s="113"/>
      <c r="AC486" s="113"/>
      <c r="AD486" s="113"/>
      <c r="AE486" s="133"/>
      <c r="AG486" s="133"/>
      <c r="AH486" s="133"/>
      <c r="AI486" s="132">
        <f t="shared" si="160"/>
        <v>968413</v>
      </c>
      <c r="AJ486" s="132">
        <f t="shared" si="161"/>
        <v>968413</v>
      </c>
      <c r="AK486" s="133">
        <f t="shared" si="162"/>
        <v>0</v>
      </c>
      <c r="AL486" s="132"/>
      <c r="AM486" s="133" t="s">
        <v>900</v>
      </c>
      <c r="AN486" s="246">
        <v>44842</v>
      </c>
      <c r="AO486" s="137"/>
      <c r="AP486" s="97"/>
      <c r="AQ486" s="97"/>
      <c r="AR486" s="97"/>
      <c r="AS486" s="97"/>
      <c r="AT486" s="97"/>
      <c r="AU486" s="97"/>
      <c r="AV486" s="97"/>
      <c r="AW486" s="97"/>
      <c r="AX486" s="97"/>
      <c r="AY486" s="97"/>
      <c r="AZ486" s="97"/>
      <c r="BA486" s="97"/>
      <c r="BB486" s="97"/>
      <c r="BC486" s="97"/>
      <c r="BD486" s="97"/>
      <c r="BE486" s="97"/>
    </row>
    <row r="487" s="115" customFormat="1" customHeight="1" spans="1:57">
      <c r="A487" s="115" t="s">
        <v>5531</v>
      </c>
      <c r="B487" s="111" t="s">
        <v>5532</v>
      </c>
      <c r="C487" s="554" t="s">
        <v>5533</v>
      </c>
      <c r="D487" s="121" t="s">
        <v>5534</v>
      </c>
      <c r="E487" s="266" t="s">
        <v>5535</v>
      </c>
      <c r="F487" s="267">
        <v>4</v>
      </c>
      <c r="G487" s="268" t="s">
        <v>5536</v>
      </c>
      <c r="H487" s="268">
        <v>26.6</v>
      </c>
      <c r="I487" s="274" t="s">
        <v>2665</v>
      </c>
      <c r="J487" s="113" t="s">
        <v>5537</v>
      </c>
      <c r="K487" s="266">
        <v>24.75</v>
      </c>
      <c r="L487" s="266" t="s">
        <v>2793</v>
      </c>
      <c r="M487" s="275" t="s">
        <v>4607</v>
      </c>
      <c r="N487" s="113" t="s">
        <v>56</v>
      </c>
      <c r="O487" s="113"/>
      <c r="P487" s="113"/>
      <c r="Q487" s="113">
        <v>19762.2222222222</v>
      </c>
      <c r="R487" s="113">
        <v>525675</v>
      </c>
      <c r="S487" s="280">
        <v>525675</v>
      </c>
      <c r="T487" s="281">
        <f>R487-S487</f>
        <v>0</v>
      </c>
      <c r="U487" s="280"/>
      <c r="V487" s="280">
        <v>1729</v>
      </c>
      <c r="W487" s="280">
        <v>560</v>
      </c>
      <c r="X487" s="280"/>
      <c r="Y487" s="113" t="s">
        <v>2669</v>
      </c>
      <c r="Z487" s="113" t="s">
        <v>48</v>
      </c>
      <c r="AA487" s="275">
        <v>44192</v>
      </c>
      <c r="AB487" s="113"/>
      <c r="AC487" s="113"/>
      <c r="AD487" s="113"/>
      <c r="AE487" s="133"/>
      <c r="AG487" s="133"/>
      <c r="AH487" s="133"/>
      <c r="AI487" s="132">
        <f t="shared" si="160"/>
        <v>527964</v>
      </c>
      <c r="AJ487" s="132">
        <f t="shared" si="161"/>
        <v>527964</v>
      </c>
      <c r="AK487" s="133">
        <f t="shared" si="162"/>
        <v>0</v>
      </c>
      <c r="AL487" s="132"/>
      <c r="AM487" s="133" t="s">
        <v>900</v>
      </c>
      <c r="AN487" s="246">
        <v>44842</v>
      </c>
      <c r="AO487" s="137"/>
      <c r="AP487" s="97"/>
      <c r="AQ487" s="97"/>
      <c r="AR487" s="97"/>
      <c r="AS487" s="97"/>
      <c r="AT487" s="97"/>
      <c r="AU487" s="97"/>
      <c r="AV487" s="97"/>
      <c r="AW487" s="97"/>
      <c r="AX487" s="97"/>
      <c r="AY487" s="97"/>
      <c r="AZ487" s="97"/>
      <c r="BA487" s="97"/>
      <c r="BB487" s="97"/>
      <c r="BC487" s="97"/>
      <c r="BD487" s="97"/>
      <c r="BE487" s="97"/>
    </row>
    <row r="488" s="115" customFormat="1" customHeight="1" spans="1:57">
      <c r="A488" s="115" t="s">
        <v>5538</v>
      </c>
      <c r="B488" s="111" t="s">
        <v>5539</v>
      </c>
      <c r="C488" s="111" t="s">
        <v>5540</v>
      </c>
      <c r="D488" s="121" t="s">
        <v>5541</v>
      </c>
      <c r="E488" s="266">
        <v>13271597333</v>
      </c>
      <c r="F488" s="267">
        <v>3</v>
      </c>
      <c r="G488" s="268">
        <v>3761</v>
      </c>
      <c r="H488" s="268">
        <v>21.76</v>
      </c>
      <c r="I488" s="274" t="s">
        <v>2657</v>
      </c>
      <c r="J488" s="113" t="s">
        <v>5542</v>
      </c>
      <c r="K488" s="266">
        <v>21.95</v>
      </c>
      <c r="L488" s="266" t="s">
        <v>3258</v>
      </c>
      <c r="M488" s="275" t="s">
        <v>5543</v>
      </c>
      <c r="N488" s="113" t="s">
        <v>56</v>
      </c>
      <c r="O488" s="113"/>
      <c r="P488" s="113"/>
      <c r="Q488" s="113">
        <v>31383.78</v>
      </c>
      <c r="R488" s="113">
        <v>682911</v>
      </c>
      <c r="S488" s="280">
        <v>682911</v>
      </c>
      <c r="T488" s="281">
        <f>R488-S488</f>
        <v>0</v>
      </c>
      <c r="U488" s="280"/>
      <c r="V488" s="280">
        <v>1414</v>
      </c>
      <c r="W488" s="280">
        <v>550</v>
      </c>
      <c r="X488" s="280">
        <v>3999</v>
      </c>
      <c r="Y488" s="113" t="s">
        <v>2669</v>
      </c>
      <c r="Z488" s="113"/>
      <c r="AA488" s="275"/>
      <c r="AB488" s="113"/>
      <c r="AC488" s="113"/>
      <c r="AD488" s="113"/>
      <c r="AE488" s="133"/>
      <c r="AG488" s="133"/>
      <c r="AH488" s="133"/>
      <c r="AI488" s="132">
        <f t="shared" si="160"/>
        <v>688874</v>
      </c>
      <c r="AJ488" s="132">
        <f t="shared" si="161"/>
        <v>688874</v>
      </c>
      <c r="AK488" s="133">
        <f t="shared" si="162"/>
        <v>0</v>
      </c>
      <c r="AL488" s="132"/>
      <c r="AM488" s="133" t="s">
        <v>900</v>
      </c>
      <c r="AN488" s="246">
        <v>44842</v>
      </c>
      <c r="AO488" s="137"/>
      <c r="AP488" s="97"/>
      <c r="AQ488" s="97"/>
      <c r="AR488" s="97"/>
      <c r="AS488" s="97"/>
      <c r="AT488" s="97"/>
      <c r="AU488" s="97"/>
      <c r="AV488" s="97"/>
      <c r="AW488" s="97"/>
      <c r="AX488" s="97"/>
      <c r="AY488" s="97"/>
      <c r="AZ488" s="97"/>
      <c r="BA488" s="97"/>
      <c r="BB488" s="97"/>
      <c r="BC488" s="97"/>
      <c r="BD488" s="97"/>
      <c r="BE488" s="97"/>
    </row>
    <row r="489" s="115" customFormat="1" customHeight="1" spans="1:57">
      <c r="A489" s="115" t="s">
        <v>5544</v>
      </c>
      <c r="B489" s="111" t="s">
        <v>1539</v>
      </c>
      <c r="C489" s="554" t="s">
        <v>5545</v>
      </c>
      <c r="D489" s="121" t="s">
        <v>5546</v>
      </c>
      <c r="E489" s="266"/>
      <c r="F489" s="267">
        <v>3</v>
      </c>
      <c r="G489" s="268">
        <v>3169</v>
      </c>
      <c r="H489" s="268">
        <v>41.7</v>
      </c>
      <c r="I489" s="274" t="s">
        <v>2665</v>
      </c>
      <c r="J489" s="113" t="s">
        <v>5547</v>
      </c>
      <c r="K489" s="266">
        <v>28.18</v>
      </c>
      <c r="L489" s="266" t="s">
        <v>2799</v>
      </c>
      <c r="M489" s="275" t="s">
        <v>4005</v>
      </c>
      <c r="N489" s="113" t="s">
        <v>66</v>
      </c>
      <c r="O489" s="113"/>
      <c r="P489" s="113"/>
      <c r="Q489" s="113">
        <v>23482.22</v>
      </c>
      <c r="R489" s="113">
        <v>661729</v>
      </c>
      <c r="S489" s="280">
        <v>331729</v>
      </c>
      <c r="T489" s="281">
        <v>330000</v>
      </c>
      <c r="U489" s="280"/>
      <c r="V489" s="280"/>
      <c r="W489" s="280"/>
      <c r="X489" s="280"/>
      <c r="Y489" s="113"/>
      <c r="Z489" s="113"/>
      <c r="AA489" s="275"/>
      <c r="AB489" s="113"/>
      <c r="AC489" s="113"/>
      <c r="AD489" s="113"/>
      <c r="AE489" s="133"/>
      <c r="AG489" s="133"/>
      <c r="AH489" s="133"/>
      <c r="AI489" s="132">
        <f t="shared" si="160"/>
        <v>331729</v>
      </c>
      <c r="AJ489" s="132">
        <f t="shared" si="161"/>
        <v>331729</v>
      </c>
      <c r="AK489" s="133">
        <f t="shared" si="162"/>
        <v>0</v>
      </c>
      <c r="AL489" s="132"/>
      <c r="AM489" s="133" t="s">
        <v>974</v>
      </c>
      <c r="AN489" s="246">
        <v>44842</v>
      </c>
      <c r="AO489" s="137"/>
      <c r="AP489" s="97"/>
      <c r="AQ489" s="97"/>
      <c r="AR489" s="97"/>
      <c r="AS489" s="97"/>
      <c r="AT489" s="97"/>
      <c r="AU489" s="97"/>
      <c r="AV489" s="97"/>
      <c r="AW489" s="97"/>
      <c r="AX489" s="97"/>
      <c r="AY489" s="97"/>
      <c r="AZ489" s="97"/>
      <c r="BA489" s="97"/>
      <c r="BB489" s="97"/>
      <c r="BC489" s="97"/>
      <c r="BD489" s="97"/>
      <c r="BE489" s="97"/>
    </row>
    <row r="490" s="202" customFormat="1" customHeight="1" spans="1:57">
      <c r="A490" s="115" t="s">
        <v>5548</v>
      </c>
      <c r="B490" s="111" t="s">
        <v>5549</v>
      </c>
      <c r="C490" s="554" t="s">
        <v>5550</v>
      </c>
      <c r="D490" s="121" t="s">
        <v>5551</v>
      </c>
      <c r="E490" s="266">
        <v>13803997304</v>
      </c>
      <c r="F490" s="267">
        <v>4</v>
      </c>
      <c r="G490" s="268">
        <v>4269</v>
      </c>
      <c r="H490" s="268">
        <v>17.07</v>
      </c>
      <c r="I490" s="274" t="s">
        <v>2657</v>
      </c>
      <c r="J490" s="113" t="s">
        <v>5552</v>
      </c>
      <c r="K490" s="266">
        <v>16.84</v>
      </c>
      <c r="L490" s="266" t="s">
        <v>3326</v>
      </c>
      <c r="M490" s="275" t="s">
        <v>5553</v>
      </c>
      <c r="N490" s="113" t="s">
        <v>66</v>
      </c>
      <c r="O490" s="113"/>
      <c r="P490" s="113"/>
      <c r="Q490" s="113">
        <v>26170.24</v>
      </c>
      <c r="R490" s="113">
        <v>446726</v>
      </c>
      <c r="S490" s="280">
        <v>226726</v>
      </c>
      <c r="T490" s="281">
        <v>220000</v>
      </c>
      <c r="U490" s="280"/>
      <c r="V490" s="280">
        <v>1109</v>
      </c>
      <c r="W490" s="280">
        <v>550</v>
      </c>
      <c r="X490" s="280"/>
      <c r="Y490" s="113" t="s">
        <v>2669</v>
      </c>
      <c r="Z490" s="113" t="s">
        <v>48</v>
      </c>
      <c r="AA490" s="275">
        <v>44151</v>
      </c>
      <c r="AB490" s="113"/>
      <c r="AC490" s="113">
        <v>1242</v>
      </c>
      <c r="AD490" s="113"/>
      <c r="AE490" s="133"/>
      <c r="AF490" s="115"/>
      <c r="AG490" s="133"/>
      <c r="AH490" s="133"/>
      <c r="AI490" s="132">
        <f t="shared" si="160"/>
        <v>229627</v>
      </c>
      <c r="AJ490" s="132">
        <f t="shared" si="161"/>
        <v>228385</v>
      </c>
      <c r="AK490" s="133">
        <f t="shared" si="162"/>
        <v>1242</v>
      </c>
      <c r="AL490" s="132"/>
      <c r="AM490" s="133" t="s">
        <v>974</v>
      </c>
      <c r="AN490" s="246">
        <v>44842</v>
      </c>
      <c r="AO490" s="137"/>
      <c r="AP490" s="97"/>
      <c r="AQ490" s="97"/>
      <c r="AR490" s="97"/>
      <c r="AS490" s="97"/>
      <c r="AT490" s="97"/>
      <c r="AU490" s="97"/>
      <c r="AV490" s="97"/>
      <c r="AW490" s="97"/>
      <c r="AX490" s="97"/>
      <c r="AY490" s="97"/>
      <c r="AZ490" s="97"/>
      <c r="BA490" s="97"/>
      <c r="BB490" s="97"/>
      <c r="BC490" s="97"/>
      <c r="BD490" s="97"/>
      <c r="BE490" s="97"/>
    </row>
    <row r="491" s="202" customFormat="1" customHeight="1" spans="1:57">
      <c r="A491" s="115" t="s">
        <v>5554</v>
      </c>
      <c r="B491" s="111" t="s">
        <v>5555</v>
      </c>
      <c r="C491" s="554" t="s">
        <v>5556</v>
      </c>
      <c r="D491" s="121" t="s">
        <v>5557</v>
      </c>
      <c r="E491" s="266">
        <v>13733198906</v>
      </c>
      <c r="F491" s="267">
        <v>3</v>
      </c>
      <c r="G491" s="268">
        <v>3935</v>
      </c>
      <c r="H491" s="268">
        <v>28.13</v>
      </c>
      <c r="I491" s="274" t="s">
        <v>2665</v>
      </c>
      <c r="J491" s="113" t="s">
        <v>5558</v>
      </c>
      <c r="K491" s="266">
        <v>28.95</v>
      </c>
      <c r="L491" s="266" t="s">
        <v>5559</v>
      </c>
      <c r="M491" s="275" t="s">
        <v>5560</v>
      </c>
      <c r="N491" s="113" t="s">
        <v>56</v>
      </c>
      <c r="O491" s="113"/>
      <c r="P491" s="113"/>
      <c r="Q491" s="113">
        <v>25017.31</v>
      </c>
      <c r="R491" s="113">
        <v>703737</v>
      </c>
      <c r="S491" s="280">
        <v>703737</v>
      </c>
      <c r="T491" s="281">
        <v>0</v>
      </c>
      <c r="U491" s="280"/>
      <c r="V491" s="280">
        <v>1828</v>
      </c>
      <c r="W491" s="280">
        <v>560</v>
      </c>
      <c r="X491" s="280">
        <v>18126</v>
      </c>
      <c r="Y491" s="113" t="s">
        <v>2669</v>
      </c>
      <c r="Z491" s="113" t="s">
        <v>48</v>
      </c>
      <c r="AA491" s="275">
        <v>44126</v>
      </c>
      <c r="AB491" s="113"/>
      <c r="AC491" s="113"/>
      <c r="AD491" s="113"/>
      <c r="AE491" s="133"/>
      <c r="AF491" s="115"/>
      <c r="AG491" s="133"/>
      <c r="AH491" s="133"/>
      <c r="AI491" s="132">
        <f t="shared" si="160"/>
        <v>724251</v>
      </c>
      <c r="AJ491" s="132">
        <f t="shared" si="161"/>
        <v>724251</v>
      </c>
      <c r="AK491" s="133">
        <f t="shared" si="162"/>
        <v>0</v>
      </c>
      <c r="AL491" s="132"/>
      <c r="AM491" s="133" t="s">
        <v>900</v>
      </c>
      <c r="AN491" s="246">
        <v>44843</v>
      </c>
      <c r="AO491" s="137"/>
      <c r="AP491" s="97"/>
      <c r="AQ491" s="97"/>
      <c r="AR491" s="97"/>
      <c r="AS491" s="97"/>
      <c r="AT491" s="97"/>
      <c r="AU491" s="97"/>
      <c r="AV491" s="97"/>
      <c r="AW491" s="97"/>
      <c r="AX491" s="97"/>
      <c r="AY491" s="97"/>
      <c r="AZ491" s="97"/>
      <c r="BA491" s="97"/>
      <c r="BB491" s="97"/>
      <c r="BC491" s="97"/>
      <c r="BD491" s="97"/>
      <c r="BE491" s="97"/>
    </row>
    <row r="492" s="202" customFormat="1" customHeight="1" spans="1:41">
      <c r="A492" s="115" t="s">
        <v>5561</v>
      </c>
      <c r="B492" s="111" t="s">
        <v>5562</v>
      </c>
      <c r="C492" s="554" t="s">
        <v>5563</v>
      </c>
      <c r="D492" s="113" t="s">
        <v>5564</v>
      </c>
      <c r="E492" s="111" t="s">
        <v>5565</v>
      </c>
      <c r="F492" s="267">
        <v>1</v>
      </c>
      <c r="G492" s="268">
        <v>1723</v>
      </c>
      <c r="H492" s="274">
        <v>15.4</v>
      </c>
      <c r="I492" s="274" t="s">
        <v>2657</v>
      </c>
      <c r="J492" s="113" t="s">
        <v>5566</v>
      </c>
      <c r="K492" s="113">
        <v>18.62</v>
      </c>
      <c r="L492" s="266" t="s">
        <v>4311</v>
      </c>
      <c r="M492" s="266" t="s">
        <v>5567</v>
      </c>
      <c r="N492" s="113" t="s">
        <v>66</v>
      </c>
      <c r="O492" s="113"/>
      <c r="P492" s="113"/>
      <c r="Q492" s="113">
        <v>47796.94</v>
      </c>
      <c r="R492" s="113">
        <v>889979</v>
      </c>
      <c r="S492" s="121">
        <v>449979</v>
      </c>
      <c r="T492" s="292">
        <v>440000</v>
      </c>
      <c r="U492" s="113"/>
      <c r="V492" s="113"/>
      <c r="W492" s="113"/>
      <c r="X492" s="113"/>
      <c r="Y492" s="113"/>
      <c r="Z492" s="113"/>
      <c r="AA492" s="113"/>
      <c r="AB492" s="113"/>
      <c r="AC492" s="113"/>
      <c r="AD492" s="113"/>
      <c r="AE492" s="133"/>
      <c r="AF492" s="115"/>
      <c r="AG492" s="133"/>
      <c r="AH492" s="133"/>
      <c r="AI492" s="132">
        <f t="shared" si="160"/>
        <v>449979</v>
      </c>
      <c r="AJ492" s="132">
        <f t="shared" si="161"/>
        <v>449979</v>
      </c>
      <c r="AK492" s="133">
        <f t="shared" si="162"/>
        <v>0</v>
      </c>
      <c r="AL492" s="132"/>
      <c r="AM492" s="133" t="s">
        <v>900</v>
      </c>
      <c r="AN492" s="246">
        <v>44843</v>
      </c>
      <c r="AO492" s="100"/>
    </row>
    <row r="493" s="202" customFormat="1" customHeight="1" spans="1:41">
      <c r="A493" s="115" t="s">
        <v>5568</v>
      </c>
      <c r="B493" s="115" t="s">
        <v>5569</v>
      </c>
      <c r="C493" s="555" t="s">
        <v>5570</v>
      </c>
      <c r="D493" s="291" t="s">
        <v>5571</v>
      </c>
      <c r="E493" s="156">
        <v>13803716902</v>
      </c>
      <c r="F493" s="115">
        <v>1</v>
      </c>
      <c r="G493" s="115">
        <v>1268</v>
      </c>
      <c r="H493" s="156">
        <v>12.45</v>
      </c>
      <c r="I493" s="115" t="s">
        <v>2657</v>
      </c>
      <c r="J493" s="181" t="s">
        <v>5572</v>
      </c>
      <c r="K493" s="156">
        <v>13.05</v>
      </c>
      <c r="L493" s="115" t="s">
        <v>3408</v>
      </c>
      <c r="M493" s="246" t="s">
        <v>3577</v>
      </c>
      <c r="N493" s="115" t="s">
        <v>66</v>
      </c>
      <c r="O493" s="181"/>
      <c r="P493" s="181"/>
      <c r="Q493" s="115">
        <v>47730.65</v>
      </c>
      <c r="R493" s="115">
        <v>622885</v>
      </c>
      <c r="S493" s="133">
        <v>312885</v>
      </c>
      <c r="T493" s="115">
        <v>310000</v>
      </c>
      <c r="U493" s="293"/>
      <c r="V493" s="293"/>
      <c r="W493" s="293"/>
      <c r="X493" s="293"/>
      <c r="Y493" s="181"/>
      <c r="Z493" s="181"/>
      <c r="AA493" s="245"/>
      <c r="AB493" s="181"/>
      <c r="AC493" s="239"/>
      <c r="AD493" s="239"/>
      <c r="AE493" s="294"/>
      <c r="AF493" s="115"/>
      <c r="AG493" s="294"/>
      <c r="AH493" s="294"/>
      <c r="AI493" s="132">
        <f t="shared" ref="AI493:AI505" si="163">S493+U493+V493+W493+X493+AC493+AD493+AE493</f>
        <v>312885</v>
      </c>
      <c r="AJ493" s="132">
        <f t="shared" ref="AJ493:AJ505" si="164">S493+U493+V493+W493+X493</f>
        <v>312885</v>
      </c>
      <c r="AK493" s="133">
        <f t="shared" ref="AK493:AK505" si="165">AI493-AJ493</f>
        <v>0</v>
      </c>
      <c r="AL493" s="295"/>
      <c r="AM493" s="133" t="s">
        <v>854</v>
      </c>
      <c r="AN493" s="246">
        <v>44843</v>
      </c>
      <c r="AO493" s="100"/>
    </row>
    <row r="494" customHeight="1" spans="1:57">
      <c r="A494" s="115" t="s">
        <v>5573</v>
      </c>
      <c r="B494" s="115" t="s">
        <v>5569</v>
      </c>
      <c r="C494" s="555" t="s">
        <v>5570</v>
      </c>
      <c r="D494" s="291" t="s">
        <v>5571</v>
      </c>
      <c r="E494" s="156">
        <v>13803716902</v>
      </c>
      <c r="F494" s="115">
        <v>4</v>
      </c>
      <c r="G494" s="115">
        <v>4270</v>
      </c>
      <c r="H494" s="156">
        <v>7.96</v>
      </c>
      <c r="I494" s="115" t="s">
        <v>2657</v>
      </c>
      <c r="J494" s="181" t="s">
        <v>5574</v>
      </c>
      <c r="K494" s="156">
        <v>6.72</v>
      </c>
      <c r="L494" s="115" t="s">
        <v>3408</v>
      </c>
      <c r="M494" s="246" t="s">
        <v>3577</v>
      </c>
      <c r="N494" s="115" t="s">
        <v>66</v>
      </c>
      <c r="O494" s="181"/>
      <c r="P494" s="181"/>
      <c r="Q494" s="115">
        <v>26287.65</v>
      </c>
      <c r="R494" s="115">
        <v>176653</v>
      </c>
      <c r="S494" s="133">
        <v>96653</v>
      </c>
      <c r="T494" s="115">
        <v>80000</v>
      </c>
      <c r="U494" s="293"/>
      <c r="V494" s="293"/>
      <c r="W494" s="293"/>
      <c r="X494" s="293"/>
      <c r="Y494" s="181"/>
      <c r="Z494" s="181"/>
      <c r="AA494" s="245"/>
      <c r="AB494" s="181"/>
      <c r="AC494" s="239"/>
      <c r="AD494" s="239"/>
      <c r="AE494" s="294"/>
      <c r="AF494" s="115"/>
      <c r="AG494" s="294"/>
      <c r="AH494" s="294"/>
      <c r="AI494" s="132">
        <f t="shared" si="163"/>
        <v>96653</v>
      </c>
      <c r="AJ494" s="132">
        <f t="shared" si="164"/>
        <v>96653</v>
      </c>
      <c r="AK494" s="133">
        <f t="shared" si="165"/>
        <v>0</v>
      </c>
      <c r="AL494" s="295"/>
      <c r="AM494" s="133" t="s">
        <v>854</v>
      </c>
      <c r="AN494" s="246">
        <v>44843</v>
      </c>
      <c r="AP494" s="202"/>
      <c r="AQ494" s="202"/>
      <c r="AR494" s="202"/>
      <c r="AS494" s="202"/>
      <c r="AT494" s="202"/>
      <c r="AU494" s="202"/>
      <c r="AV494" s="202"/>
      <c r="AW494" s="202"/>
      <c r="AX494" s="202"/>
      <c r="AY494" s="202"/>
      <c r="AZ494" s="202"/>
      <c r="BA494" s="202"/>
      <c r="BB494" s="202"/>
      <c r="BC494" s="202"/>
      <c r="BD494" s="202"/>
      <c r="BE494" s="202"/>
    </row>
    <row r="495" s="202" customFormat="1" customHeight="1" spans="1:41">
      <c r="A495" s="115" t="s">
        <v>5575</v>
      </c>
      <c r="B495" s="115" t="s">
        <v>5576</v>
      </c>
      <c r="C495" s="555" t="s">
        <v>5577</v>
      </c>
      <c r="D495" s="291" t="s">
        <v>5578</v>
      </c>
      <c r="E495" s="156">
        <v>13461469777</v>
      </c>
      <c r="F495" s="115">
        <v>1</v>
      </c>
      <c r="G495" s="115">
        <v>169</v>
      </c>
      <c r="H495" s="156">
        <v>16.42</v>
      </c>
      <c r="I495" s="115" t="s">
        <v>2657</v>
      </c>
      <c r="J495" s="181" t="s">
        <v>5579</v>
      </c>
      <c r="K495" s="156">
        <v>27.46</v>
      </c>
      <c r="L495" s="115" t="s">
        <v>3060</v>
      </c>
      <c r="M495" s="246" t="s">
        <v>5580</v>
      </c>
      <c r="N495" s="115" t="s">
        <v>66</v>
      </c>
      <c r="O495" s="181"/>
      <c r="P495" s="181"/>
      <c r="Q495" s="115">
        <v>47267.23</v>
      </c>
      <c r="R495" s="115">
        <v>1297958</v>
      </c>
      <c r="S495" s="133">
        <v>657958</v>
      </c>
      <c r="T495" s="115">
        <v>640000</v>
      </c>
      <c r="U495" s="293"/>
      <c r="V495" s="293"/>
      <c r="W495" s="293"/>
      <c r="X495" s="293"/>
      <c r="Y495" s="181"/>
      <c r="Z495" s="181"/>
      <c r="AA495" s="245"/>
      <c r="AB495" s="181"/>
      <c r="AC495" s="239"/>
      <c r="AD495" s="239"/>
      <c r="AE495" s="133"/>
      <c r="AF495" s="115"/>
      <c r="AG495" s="133"/>
      <c r="AH495" s="133"/>
      <c r="AI495" s="132">
        <f t="shared" si="163"/>
        <v>657958</v>
      </c>
      <c r="AJ495" s="132">
        <f t="shared" si="164"/>
        <v>657958</v>
      </c>
      <c r="AK495" s="133">
        <f t="shared" si="165"/>
        <v>0</v>
      </c>
      <c r="AL495" s="132"/>
      <c r="AM495" s="133" t="s">
        <v>854</v>
      </c>
      <c r="AN495" s="246">
        <v>44843</v>
      </c>
      <c r="AO495" s="100"/>
    </row>
    <row r="496" s="253" customFormat="1" customHeight="1" spans="1:57">
      <c r="A496" s="115" t="s">
        <v>5581</v>
      </c>
      <c r="B496" s="115" t="s">
        <v>5582</v>
      </c>
      <c r="C496" s="155" t="s">
        <v>5583</v>
      </c>
      <c r="D496" s="291" t="s">
        <v>5584</v>
      </c>
      <c r="E496" s="156">
        <v>15617810082</v>
      </c>
      <c r="F496" s="115">
        <v>3</v>
      </c>
      <c r="G496" s="115">
        <v>3690</v>
      </c>
      <c r="H496" s="156">
        <v>23.18</v>
      </c>
      <c r="I496" s="115" t="s">
        <v>2657</v>
      </c>
      <c r="J496" s="181" t="s">
        <v>5585</v>
      </c>
      <c r="K496" s="156">
        <v>20.09</v>
      </c>
      <c r="L496" s="115" t="s">
        <v>3008</v>
      </c>
      <c r="M496" s="246" t="s">
        <v>4879</v>
      </c>
      <c r="N496" s="115" t="s">
        <v>66</v>
      </c>
      <c r="O496" s="181"/>
      <c r="P496" s="181"/>
      <c r="Q496" s="115">
        <v>32058.98</v>
      </c>
      <c r="R496" s="115">
        <v>644065</v>
      </c>
      <c r="S496" s="293">
        <v>324065</v>
      </c>
      <c r="T496" s="293">
        <v>320000</v>
      </c>
      <c r="U496" s="293"/>
      <c r="V496" s="293"/>
      <c r="W496" s="293"/>
      <c r="X496" s="293"/>
      <c r="Y496" s="181"/>
      <c r="Z496" s="181"/>
      <c r="AA496" s="245"/>
      <c r="AB496" s="181"/>
      <c r="AC496" s="239"/>
      <c r="AD496" s="239"/>
      <c r="AE496" s="133"/>
      <c r="AF496" s="115"/>
      <c r="AG496" s="133"/>
      <c r="AH496" s="133"/>
      <c r="AI496" s="132">
        <f t="shared" si="163"/>
        <v>324065</v>
      </c>
      <c r="AJ496" s="132">
        <f t="shared" si="164"/>
        <v>324065</v>
      </c>
      <c r="AK496" s="133">
        <f t="shared" si="165"/>
        <v>0</v>
      </c>
      <c r="AL496" s="132"/>
      <c r="AM496" s="133" t="s">
        <v>854</v>
      </c>
      <c r="AN496" s="246">
        <v>44843</v>
      </c>
      <c r="AO496" s="100"/>
      <c r="AP496" s="96"/>
      <c r="AQ496" s="96"/>
      <c r="AR496" s="96"/>
      <c r="AS496" s="96"/>
      <c r="AT496" s="96"/>
      <c r="AU496" s="96"/>
      <c r="AV496" s="96"/>
      <c r="AW496" s="96"/>
      <c r="AX496" s="96"/>
      <c r="AY496" s="96"/>
      <c r="AZ496" s="96"/>
      <c r="BA496" s="96"/>
      <c r="BB496" s="96"/>
      <c r="BC496" s="96"/>
      <c r="BD496" s="96"/>
      <c r="BE496" s="96"/>
    </row>
    <row r="497" customHeight="1" spans="1:57">
      <c r="A497" s="115" t="s">
        <v>5586</v>
      </c>
      <c r="B497" s="115" t="s">
        <v>5587</v>
      </c>
      <c r="C497" s="155" t="s">
        <v>5588</v>
      </c>
      <c r="D497" s="291" t="s">
        <v>5589</v>
      </c>
      <c r="E497" s="156">
        <v>13903941725</v>
      </c>
      <c r="F497" s="115">
        <v>4</v>
      </c>
      <c r="G497" s="115">
        <v>4516</v>
      </c>
      <c r="H497" s="156">
        <v>13.75</v>
      </c>
      <c r="I497" s="115" t="s">
        <v>2657</v>
      </c>
      <c r="J497" s="181" t="s">
        <v>5590</v>
      </c>
      <c r="K497" s="156">
        <v>11.5</v>
      </c>
      <c r="L497" s="115" t="s">
        <v>5591</v>
      </c>
      <c r="M497" s="246" t="s">
        <v>5276</v>
      </c>
      <c r="N497" s="115" t="s">
        <v>56</v>
      </c>
      <c r="O497" s="181"/>
      <c r="P497" s="181"/>
      <c r="Q497" s="115">
        <v>27164.09</v>
      </c>
      <c r="R497" s="115">
        <v>312387</v>
      </c>
      <c r="S497" s="293">
        <v>312387</v>
      </c>
      <c r="T497" s="293">
        <v>0</v>
      </c>
      <c r="U497" s="293"/>
      <c r="V497" s="293"/>
      <c r="W497" s="293"/>
      <c r="X497" s="293"/>
      <c r="Y497" s="181"/>
      <c r="Z497" s="181"/>
      <c r="AA497" s="245"/>
      <c r="AB497" s="181" t="s">
        <v>5592</v>
      </c>
      <c r="AC497" s="239"/>
      <c r="AD497" s="239"/>
      <c r="AE497" s="133"/>
      <c r="AF497" s="115"/>
      <c r="AG497" s="133"/>
      <c r="AH497" s="133"/>
      <c r="AI497" s="132">
        <f t="shared" si="163"/>
        <v>312387</v>
      </c>
      <c r="AJ497" s="132">
        <f t="shared" si="164"/>
        <v>312387</v>
      </c>
      <c r="AK497" s="133">
        <f t="shared" si="165"/>
        <v>0</v>
      </c>
      <c r="AL497" s="132"/>
      <c r="AM497" s="133" t="s">
        <v>854</v>
      </c>
      <c r="AN497" s="246">
        <v>44843</v>
      </c>
      <c r="AO497" s="137"/>
      <c r="AP497" s="97"/>
      <c r="AQ497" s="97"/>
      <c r="AR497" s="97"/>
      <c r="AS497" s="97"/>
      <c r="AT497" s="97"/>
      <c r="AU497" s="97"/>
      <c r="AV497" s="97"/>
      <c r="AW497" s="97"/>
      <c r="AX497" s="97"/>
      <c r="AY497" s="97"/>
      <c r="AZ497" s="97"/>
      <c r="BA497" s="97"/>
      <c r="BB497" s="97"/>
      <c r="BC497" s="97"/>
      <c r="BD497" s="97"/>
      <c r="BE497" s="97"/>
    </row>
    <row r="498" customHeight="1" spans="1:57">
      <c r="A498" s="115" t="s">
        <v>5593</v>
      </c>
      <c r="B498" s="111" t="s">
        <v>5594</v>
      </c>
      <c r="C498" s="111" t="s">
        <v>5595</v>
      </c>
      <c r="D498" s="121" t="s">
        <v>5596</v>
      </c>
      <c r="E498" s="266">
        <v>13598095135</v>
      </c>
      <c r="F498" s="267">
        <v>3</v>
      </c>
      <c r="G498" s="268">
        <v>3246</v>
      </c>
      <c r="H498" s="268">
        <v>15.22</v>
      </c>
      <c r="I498" s="274" t="s">
        <v>2657</v>
      </c>
      <c r="J498" s="113" t="s">
        <v>5597</v>
      </c>
      <c r="K498" s="266">
        <v>14.81</v>
      </c>
      <c r="L498" s="266" t="s">
        <v>3634</v>
      </c>
      <c r="M498" s="275" t="s">
        <v>5598</v>
      </c>
      <c r="N498" s="113" t="s">
        <v>56</v>
      </c>
      <c r="O498" s="113"/>
      <c r="P498" s="113"/>
      <c r="Q498" s="113">
        <v>31011.83</v>
      </c>
      <c r="R498" s="113">
        <v>472000</v>
      </c>
      <c r="S498" s="280">
        <v>472000</v>
      </c>
      <c r="T498" s="281">
        <f>R498-S498</f>
        <v>0</v>
      </c>
      <c r="U498" s="280"/>
      <c r="V498" s="280">
        <v>989</v>
      </c>
      <c r="W498" s="280">
        <v>550</v>
      </c>
      <c r="X498" s="280"/>
      <c r="Y498" s="113"/>
      <c r="Z498" s="113"/>
      <c r="AA498" s="275"/>
      <c r="AB498" s="113"/>
      <c r="AC498" s="113"/>
      <c r="AD498" s="113"/>
      <c r="AE498" s="133"/>
      <c r="AF498" s="115"/>
      <c r="AG498" s="133"/>
      <c r="AH498" s="133"/>
      <c r="AI498" s="132">
        <f t="shared" si="163"/>
        <v>473539</v>
      </c>
      <c r="AJ498" s="132">
        <f t="shared" si="164"/>
        <v>473539</v>
      </c>
      <c r="AK498" s="133">
        <f t="shared" si="165"/>
        <v>0</v>
      </c>
      <c r="AL498" s="132"/>
      <c r="AM498" s="133" t="s">
        <v>886</v>
      </c>
      <c r="AN498" s="246">
        <v>44843</v>
      </c>
      <c r="AO498" s="137"/>
      <c r="AP498" s="97"/>
      <c r="AQ498" s="97"/>
      <c r="AR498" s="97"/>
      <c r="AS498" s="97"/>
      <c r="AT498" s="97"/>
      <c r="AU498" s="97"/>
      <c r="AV498" s="97"/>
      <c r="AW498" s="97"/>
      <c r="AX498" s="97"/>
      <c r="AY498" s="97"/>
      <c r="AZ498" s="97"/>
      <c r="BA498" s="97"/>
      <c r="BB498" s="97"/>
      <c r="BC498" s="97"/>
      <c r="BD498" s="97"/>
      <c r="BE498" s="97"/>
    </row>
    <row r="499" customHeight="1" spans="1:57">
      <c r="A499" s="115" t="s">
        <v>5599</v>
      </c>
      <c r="B499" s="111" t="s">
        <v>5600</v>
      </c>
      <c r="C499" s="554" t="s">
        <v>5601</v>
      </c>
      <c r="D499" s="121" t="s">
        <v>5602</v>
      </c>
      <c r="E499" s="266" t="s">
        <v>5603</v>
      </c>
      <c r="F499" s="267">
        <v>4</v>
      </c>
      <c r="G499" s="268">
        <v>4356</v>
      </c>
      <c r="H499" s="268">
        <v>17.85</v>
      </c>
      <c r="I499" s="274" t="s">
        <v>2657</v>
      </c>
      <c r="J499" s="113" t="s">
        <v>5604</v>
      </c>
      <c r="K499" s="266">
        <v>17.89</v>
      </c>
      <c r="L499" s="266" t="s">
        <v>2705</v>
      </c>
      <c r="M499" s="275" t="s">
        <v>3772</v>
      </c>
      <c r="N499" s="113" t="s">
        <v>66</v>
      </c>
      <c r="O499" s="113"/>
      <c r="P499" s="113"/>
      <c r="Q499" s="113">
        <v>26034.88</v>
      </c>
      <c r="R499" s="113">
        <v>464723</v>
      </c>
      <c r="S499" s="280">
        <v>234723</v>
      </c>
      <c r="T499" s="281"/>
      <c r="U499" s="280">
        <v>230000</v>
      </c>
      <c r="V499" s="280">
        <v>1160</v>
      </c>
      <c r="W499" s="280">
        <v>550</v>
      </c>
      <c r="X499" s="280"/>
      <c r="Y499" s="113" t="s">
        <v>2669</v>
      </c>
      <c r="Z499" s="113" t="s">
        <v>48</v>
      </c>
      <c r="AA499" s="275">
        <v>44023</v>
      </c>
      <c r="AB499" s="113"/>
      <c r="AC499" s="113">
        <v>1243</v>
      </c>
      <c r="AD499" s="113"/>
      <c r="AE499" s="133"/>
      <c r="AF499" s="115"/>
      <c r="AG499" s="133"/>
      <c r="AH499" s="133"/>
      <c r="AI499" s="132">
        <f t="shared" si="163"/>
        <v>467676</v>
      </c>
      <c r="AJ499" s="132">
        <f t="shared" si="164"/>
        <v>466433</v>
      </c>
      <c r="AK499" s="133">
        <f t="shared" si="165"/>
        <v>1243</v>
      </c>
      <c r="AL499" s="132"/>
      <c r="AM499" s="133" t="s">
        <v>886</v>
      </c>
      <c r="AN499" s="246">
        <v>44843</v>
      </c>
      <c r="AO499" s="137"/>
      <c r="AP499" s="97"/>
      <c r="AQ499" s="97"/>
      <c r="AR499" s="97"/>
      <c r="AS499" s="97"/>
      <c r="AT499" s="97"/>
      <c r="AU499" s="97"/>
      <c r="AV499" s="97"/>
      <c r="AW499" s="97"/>
      <c r="AX499" s="97"/>
      <c r="AY499" s="97"/>
      <c r="AZ499" s="97"/>
      <c r="BA499" s="97"/>
      <c r="BB499" s="97"/>
      <c r="BC499" s="97"/>
      <c r="BD499" s="97"/>
      <c r="BE499" s="97"/>
    </row>
    <row r="500" customHeight="1" spans="1:57">
      <c r="A500" s="115" t="s">
        <v>5605</v>
      </c>
      <c r="B500" s="111" t="s">
        <v>5606</v>
      </c>
      <c r="C500" s="554" t="s">
        <v>5607</v>
      </c>
      <c r="D500" s="121" t="s">
        <v>5608</v>
      </c>
      <c r="E500" s="266">
        <v>15565109099</v>
      </c>
      <c r="F500" s="267">
        <v>4</v>
      </c>
      <c r="G500" s="268">
        <v>4316</v>
      </c>
      <c r="H500" s="268">
        <v>45.06</v>
      </c>
      <c r="I500" s="274" t="s">
        <v>2657</v>
      </c>
      <c r="J500" s="113" t="s">
        <v>5609</v>
      </c>
      <c r="K500" s="266">
        <v>41.71</v>
      </c>
      <c r="L500" s="266" t="s">
        <v>2897</v>
      </c>
      <c r="M500" s="275" t="s">
        <v>5610</v>
      </c>
      <c r="N500" s="113" t="s">
        <v>56</v>
      </c>
      <c r="O500" s="113"/>
      <c r="P500" s="113"/>
      <c r="Q500" s="113">
        <v>25000</v>
      </c>
      <c r="R500" s="113">
        <v>1126500</v>
      </c>
      <c r="S500" s="280">
        <v>1126500</v>
      </c>
      <c r="T500" s="281">
        <f>R500-S500</f>
        <v>0</v>
      </c>
      <c r="U500" s="280"/>
      <c r="V500" s="280">
        <v>2928</v>
      </c>
      <c r="W500" s="280">
        <v>550</v>
      </c>
      <c r="X500" s="280"/>
      <c r="Y500" s="113" t="s">
        <v>2669</v>
      </c>
      <c r="Z500" s="113"/>
      <c r="AA500" s="275"/>
      <c r="AB500" s="113"/>
      <c r="AC500" s="113"/>
      <c r="AD500" s="113"/>
      <c r="AE500" s="133"/>
      <c r="AF500" s="115"/>
      <c r="AG500" s="133"/>
      <c r="AH500" s="133"/>
      <c r="AI500" s="132">
        <f t="shared" si="163"/>
        <v>1129978</v>
      </c>
      <c r="AJ500" s="132">
        <f t="shared" si="164"/>
        <v>1129978</v>
      </c>
      <c r="AK500" s="133">
        <f t="shared" si="165"/>
        <v>0</v>
      </c>
      <c r="AL500" s="132"/>
      <c r="AM500" s="133" t="s">
        <v>886</v>
      </c>
      <c r="AN500" s="246">
        <v>44843</v>
      </c>
      <c r="AO500" s="137"/>
      <c r="AP500" s="97"/>
      <c r="AQ500" s="97"/>
      <c r="AR500" s="97"/>
      <c r="AS500" s="97"/>
      <c r="AT500" s="97"/>
      <c r="AU500" s="97"/>
      <c r="AV500" s="97"/>
      <c r="AW500" s="97"/>
      <c r="AX500" s="97"/>
      <c r="AY500" s="97"/>
      <c r="AZ500" s="97"/>
      <c r="BA500" s="97"/>
      <c r="BB500" s="97"/>
      <c r="BC500" s="97"/>
      <c r="BD500" s="97"/>
      <c r="BE500" s="97"/>
    </row>
    <row r="501" customHeight="1" spans="1:57">
      <c r="A501" s="115" t="s">
        <v>5611</v>
      </c>
      <c r="B501" s="111" t="s">
        <v>5612</v>
      </c>
      <c r="C501" s="111" t="s">
        <v>5613</v>
      </c>
      <c r="D501" s="121" t="s">
        <v>5614</v>
      </c>
      <c r="E501" s="266">
        <v>13213201048</v>
      </c>
      <c r="F501" s="267">
        <v>3</v>
      </c>
      <c r="G501" s="268">
        <v>3677</v>
      </c>
      <c r="H501" s="268">
        <v>19.37</v>
      </c>
      <c r="I501" s="274" t="s">
        <v>2657</v>
      </c>
      <c r="J501" s="113" t="s">
        <v>5615</v>
      </c>
      <c r="K501" s="266">
        <v>15.67</v>
      </c>
      <c r="L501" s="266" t="s">
        <v>2854</v>
      </c>
      <c r="M501" s="275" t="s">
        <v>2868</v>
      </c>
      <c r="N501" s="113" t="s">
        <v>66</v>
      </c>
      <c r="O501" s="113"/>
      <c r="P501" s="113"/>
      <c r="Q501" s="113">
        <v>32546.27</v>
      </c>
      <c r="R501" s="113">
        <v>510000</v>
      </c>
      <c r="S501" s="280">
        <v>260000</v>
      </c>
      <c r="T501" s="281">
        <f>R501-S501</f>
        <v>250000</v>
      </c>
      <c r="U501" s="280"/>
      <c r="V501" s="280"/>
      <c r="W501" s="280"/>
      <c r="X501" s="280"/>
      <c r="Y501" s="113"/>
      <c r="Z501" s="113"/>
      <c r="AA501" s="275"/>
      <c r="AB501" s="113"/>
      <c r="AC501" s="113"/>
      <c r="AD501" s="113"/>
      <c r="AE501" s="133"/>
      <c r="AF501" s="115"/>
      <c r="AG501" s="133"/>
      <c r="AH501" s="133"/>
      <c r="AI501" s="132">
        <f t="shared" si="163"/>
        <v>260000</v>
      </c>
      <c r="AJ501" s="132">
        <f t="shared" si="164"/>
        <v>260000</v>
      </c>
      <c r="AK501" s="133">
        <f t="shared" si="165"/>
        <v>0</v>
      </c>
      <c r="AL501" s="132"/>
      <c r="AM501" s="133" t="s">
        <v>886</v>
      </c>
      <c r="AN501" s="246">
        <v>44843</v>
      </c>
      <c r="AO501" s="137"/>
      <c r="AP501" s="97"/>
      <c r="AQ501" s="97"/>
      <c r="AR501" s="97"/>
      <c r="AS501" s="97"/>
      <c r="AT501" s="97"/>
      <c r="AU501" s="97"/>
      <c r="AV501" s="97"/>
      <c r="AW501" s="97"/>
      <c r="AX501" s="97"/>
      <c r="AY501" s="97"/>
      <c r="AZ501" s="97"/>
      <c r="BA501" s="97"/>
      <c r="BB501" s="97"/>
      <c r="BC501" s="97"/>
      <c r="BD501" s="97"/>
      <c r="BE501" s="97"/>
    </row>
    <row r="502" customHeight="1" spans="1:57">
      <c r="A502" s="115" t="s">
        <v>5616</v>
      </c>
      <c r="B502" s="111" t="s">
        <v>5617</v>
      </c>
      <c r="C502" s="554" t="s">
        <v>5618</v>
      </c>
      <c r="D502" s="121"/>
      <c r="E502" s="266" t="s">
        <v>5619</v>
      </c>
      <c r="F502" s="267">
        <v>1</v>
      </c>
      <c r="G502" s="268" t="s">
        <v>5620</v>
      </c>
      <c r="H502" s="268">
        <v>24.18</v>
      </c>
      <c r="I502" s="274"/>
      <c r="J502" s="113"/>
      <c r="K502" s="266" t="s">
        <v>5621</v>
      </c>
      <c r="L502" s="266" t="s">
        <v>5622</v>
      </c>
      <c r="M502" s="275"/>
      <c r="N502" s="113"/>
      <c r="O502" s="113"/>
      <c r="P502" s="113"/>
      <c r="Q502" s="113">
        <v>49201.28</v>
      </c>
      <c r="R502" s="113">
        <v>1540000</v>
      </c>
      <c r="S502" s="280">
        <v>924000</v>
      </c>
      <c r="T502" s="281">
        <v>616000</v>
      </c>
      <c r="U502" s="280"/>
      <c r="V502" s="280"/>
      <c r="W502" s="280"/>
      <c r="X502" s="280"/>
      <c r="Y502" s="113"/>
      <c r="Z502" s="113"/>
      <c r="AA502" s="275"/>
      <c r="AB502" s="113"/>
      <c r="AC502" s="113"/>
      <c r="AD502" s="113"/>
      <c r="AE502" s="133"/>
      <c r="AF502" s="115"/>
      <c r="AG502" s="133"/>
      <c r="AH502" s="133"/>
      <c r="AI502" s="132">
        <f t="shared" si="163"/>
        <v>924000</v>
      </c>
      <c r="AJ502" s="132">
        <f t="shared" si="164"/>
        <v>924000</v>
      </c>
      <c r="AK502" s="133">
        <f t="shared" si="165"/>
        <v>0</v>
      </c>
      <c r="AL502" s="132" t="s">
        <v>5623</v>
      </c>
      <c r="AM502" s="133" t="s">
        <v>886</v>
      </c>
      <c r="AN502" s="246">
        <v>44843</v>
      </c>
      <c r="AO502" s="137"/>
      <c r="AP502" s="97"/>
      <c r="AQ502" s="97"/>
      <c r="AR502" s="97"/>
      <c r="AS502" s="97"/>
      <c r="AT502" s="97"/>
      <c r="AU502" s="97"/>
      <c r="AV502" s="97"/>
      <c r="AW502" s="97"/>
      <c r="AX502" s="97"/>
      <c r="AY502" s="97"/>
      <c r="AZ502" s="97"/>
      <c r="BA502" s="97"/>
      <c r="BB502" s="97"/>
      <c r="BC502" s="97"/>
      <c r="BD502" s="97"/>
      <c r="BE502" s="97"/>
    </row>
    <row r="503" customHeight="1" spans="1:57">
      <c r="A503" s="115" t="s">
        <v>5624</v>
      </c>
      <c r="B503" s="111" t="s">
        <v>5625</v>
      </c>
      <c r="C503" s="554" t="s">
        <v>5626</v>
      </c>
      <c r="D503" s="121" t="s">
        <v>5627</v>
      </c>
      <c r="E503" s="266" t="s">
        <v>5628</v>
      </c>
      <c r="F503" s="267">
        <v>3</v>
      </c>
      <c r="G503" s="268">
        <v>382</v>
      </c>
      <c r="H503" s="268">
        <v>32.76</v>
      </c>
      <c r="I503" s="274" t="s">
        <v>2665</v>
      </c>
      <c r="J503" s="113" t="s">
        <v>5629</v>
      </c>
      <c r="K503" s="266">
        <v>32.18</v>
      </c>
      <c r="L503" s="266" t="s">
        <v>2711</v>
      </c>
      <c r="M503" s="275" t="s">
        <v>2799</v>
      </c>
      <c r="N503" s="113" t="s">
        <v>66</v>
      </c>
      <c r="O503" s="113"/>
      <c r="P503" s="113"/>
      <c r="Q503" s="113">
        <v>22398.4151646986</v>
      </c>
      <c r="R503" s="113">
        <v>720781</v>
      </c>
      <c r="S503" s="280">
        <v>360781</v>
      </c>
      <c r="T503" s="281">
        <f t="shared" ref="T503:T508" si="166">R503-S503</f>
        <v>360000</v>
      </c>
      <c r="U503" s="280"/>
      <c r="V503" s="280"/>
      <c r="W503" s="280"/>
      <c r="X503" s="280"/>
      <c r="Y503" s="113"/>
      <c r="Z503" s="113"/>
      <c r="AA503" s="275"/>
      <c r="AB503" s="113"/>
      <c r="AC503" s="113"/>
      <c r="AD503" s="113"/>
      <c r="AE503" s="133"/>
      <c r="AF503" s="115"/>
      <c r="AG503" s="133"/>
      <c r="AH503" s="133"/>
      <c r="AI503" s="132">
        <f t="shared" si="163"/>
        <v>360781</v>
      </c>
      <c r="AJ503" s="132">
        <f t="shared" si="164"/>
        <v>360781</v>
      </c>
      <c r="AK503" s="133">
        <f t="shared" si="165"/>
        <v>0</v>
      </c>
      <c r="AL503" s="132"/>
      <c r="AM503" s="133" t="s">
        <v>886</v>
      </c>
      <c r="AN503" s="246">
        <v>44843</v>
      </c>
      <c r="AO503" s="137"/>
      <c r="AP503" s="97"/>
      <c r="AQ503" s="97"/>
      <c r="AR503" s="97"/>
      <c r="AS503" s="97"/>
      <c r="AT503" s="97"/>
      <c r="AU503" s="97"/>
      <c r="AV503" s="97"/>
      <c r="AW503" s="97"/>
      <c r="AX503" s="97"/>
      <c r="AY503" s="97"/>
      <c r="AZ503" s="97"/>
      <c r="BA503" s="97"/>
      <c r="BB503" s="97"/>
      <c r="BC503" s="97"/>
      <c r="BD503" s="97"/>
      <c r="BE503" s="97"/>
    </row>
    <row r="504" customHeight="1" spans="1:57">
      <c r="A504" s="115" t="s">
        <v>5630</v>
      </c>
      <c r="B504" s="111" t="s">
        <v>5631</v>
      </c>
      <c r="C504" s="554" t="s">
        <v>5632</v>
      </c>
      <c r="D504" s="121" t="s">
        <v>5633</v>
      </c>
      <c r="E504" s="266">
        <v>13949040168</v>
      </c>
      <c r="F504" s="267">
        <v>1</v>
      </c>
      <c r="G504" s="268">
        <v>1807</v>
      </c>
      <c r="H504" s="268">
        <v>23.3</v>
      </c>
      <c r="I504" s="274" t="s">
        <v>2657</v>
      </c>
      <c r="J504" s="113" t="s">
        <v>5634</v>
      </c>
      <c r="K504" s="266">
        <v>25.99</v>
      </c>
      <c r="L504" s="266" t="s">
        <v>4896</v>
      </c>
      <c r="M504" s="275" t="s">
        <v>4061</v>
      </c>
      <c r="N504" s="113" t="s">
        <v>56</v>
      </c>
      <c r="O504" s="113"/>
      <c r="P504" s="113"/>
      <c r="Q504" s="113">
        <v>46652.25</v>
      </c>
      <c r="R504" s="113">
        <v>1086997</v>
      </c>
      <c r="S504" s="280">
        <v>1086997</v>
      </c>
      <c r="T504" s="281">
        <f t="shared" si="166"/>
        <v>0</v>
      </c>
      <c r="U504" s="280"/>
      <c r="V504" s="280">
        <v>1514</v>
      </c>
      <c r="W504" s="280">
        <v>550</v>
      </c>
      <c r="X504" s="280">
        <v>123431</v>
      </c>
      <c r="Y504" s="113"/>
      <c r="Z504" s="113"/>
      <c r="AA504" s="275"/>
      <c r="AB504" s="113"/>
      <c r="AC504" s="113"/>
      <c r="AD504" s="113"/>
      <c r="AE504" s="133"/>
      <c r="AF504" s="115"/>
      <c r="AG504" s="133"/>
      <c r="AH504" s="133"/>
      <c r="AI504" s="132">
        <f t="shared" si="163"/>
        <v>1212492</v>
      </c>
      <c r="AJ504" s="132">
        <f t="shared" si="164"/>
        <v>1212492</v>
      </c>
      <c r="AK504" s="133">
        <f t="shared" si="165"/>
        <v>0</v>
      </c>
      <c r="AL504" s="132"/>
      <c r="AM504" s="133" t="s">
        <v>886</v>
      </c>
      <c r="AN504" s="246">
        <v>44843</v>
      </c>
      <c r="AO504" s="137"/>
      <c r="AP504" s="97"/>
      <c r="AQ504" s="97"/>
      <c r="AR504" s="97"/>
      <c r="AS504" s="97"/>
      <c r="AT504" s="97"/>
      <c r="AU504" s="97"/>
      <c r="AV504" s="97"/>
      <c r="AW504" s="97"/>
      <c r="AX504" s="97"/>
      <c r="AY504" s="97"/>
      <c r="AZ504" s="97"/>
      <c r="BA504" s="97"/>
      <c r="BB504" s="97"/>
      <c r="BC504" s="97"/>
      <c r="BD504" s="97"/>
      <c r="BE504" s="97"/>
    </row>
    <row r="505" customHeight="1" spans="1:57">
      <c r="A505" s="115" t="s">
        <v>5635</v>
      </c>
      <c r="B505" s="111" t="s">
        <v>5636</v>
      </c>
      <c r="C505" s="554" t="s">
        <v>5637</v>
      </c>
      <c r="D505" s="121" t="s">
        <v>5638</v>
      </c>
      <c r="E505" s="266" t="s">
        <v>5639</v>
      </c>
      <c r="F505" s="267">
        <v>4</v>
      </c>
      <c r="G505" s="268">
        <v>4174</v>
      </c>
      <c r="H505" s="268">
        <v>35.89</v>
      </c>
      <c r="I505" s="274" t="s">
        <v>2657</v>
      </c>
      <c r="J505" s="113" t="s">
        <v>5640</v>
      </c>
      <c r="K505" s="266">
        <v>29.6</v>
      </c>
      <c r="L505" s="266" t="s">
        <v>3096</v>
      </c>
      <c r="M505" s="275" t="s">
        <v>3739</v>
      </c>
      <c r="N505" s="113" t="s">
        <v>56</v>
      </c>
      <c r="O505" s="113"/>
      <c r="P505" s="113"/>
      <c r="Q505" s="113">
        <v>24633.18</v>
      </c>
      <c r="R505" s="113">
        <v>729142</v>
      </c>
      <c r="S505" s="280">
        <v>729142</v>
      </c>
      <c r="T505" s="281">
        <f t="shared" si="166"/>
        <v>0</v>
      </c>
      <c r="U505" s="280"/>
      <c r="V505" s="280"/>
      <c r="W505" s="280"/>
      <c r="X505" s="280"/>
      <c r="Y505" s="113"/>
      <c r="Z505" s="113"/>
      <c r="AA505" s="275"/>
      <c r="AB505" s="113"/>
      <c r="AC505" s="113"/>
      <c r="AD505" s="113"/>
      <c r="AE505" s="133"/>
      <c r="AF505" s="115"/>
      <c r="AG505" s="133"/>
      <c r="AH505" s="133"/>
      <c r="AI505" s="132">
        <f t="shared" si="163"/>
        <v>729142</v>
      </c>
      <c r="AJ505" s="132">
        <f t="shared" si="164"/>
        <v>729142</v>
      </c>
      <c r="AK505" s="133">
        <f t="shared" si="165"/>
        <v>0</v>
      </c>
      <c r="AL505" s="132"/>
      <c r="AM505" s="133" t="s">
        <v>886</v>
      </c>
      <c r="AN505" s="246">
        <v>44843</v>
      </c>
      <c r="AO505" s="137"/>
      <c r="AP505" s="97"/>
      <c r="AQ505" s="97"/>
      <c r="AR505" s="97"/>
      <c r="AS505" s="97"/>
      <c r="AT505" s="97"/>
      <c r="AU505" s="97"/>
      <c r="AV505" s="97"/>
      <c r="AW505" s="97"/>
      <c r="AX505" s="97"/>
      <c r="AY505" s="97"/>
      <c r="AZ505" s="97"/>
      <c r="BA505" s="97"/>
      <c r="BB505" s="97"/>
      <c r="BC505" s="97"/>
      <c r="BD505" s="97"/>
      <c r="BE505" s="97"/>
    </row>
    <row r="506" customHeight="1" spans="1:57">
      <c r="A506" s="115" t="s">
        <v>5641</v>
      </c>
      <c r="B506" s="111" t="s">
        <v>5642</v>
      </c>
      <c r="C506" s="554" t="s">
        <v>5643</v>
      </c>
      <c r="D506" s="121" t="s">
        <v>5644</v>
      </c>
      <c r="E506" s="266">
        <v>15838081155</v>
      </c>
      <c r="F506" s="267">
        <v>4</v>
      </c>
      <c r="G506" s="268">
        <v>4439</v>
      </c>
      <c r="H506" s="268">
        <v>26.6</v>
      </c>
      <c r="I506" s="274" t="s">
        <v>2657</v>
      </c>
      <c r="J506" s="113" t="s">
        <v>5645</v>
      </c>
      <c r="K506" s="266">
        <v>23.19</v>
      </c>
      <c r="L506" s="266" t="s">
        <v>5646</v>
      </c>
      <c r="M506" s="275" t="s">
        <v>2876</v>
      </c>
      <c r="N506" s="113" t="s">
        <v>56</v>
      </c>
      <c r="O506" s="113"/>
      <c r="P506" s="113"/>
      <c r="Q506" s="113">
        <v>26165.41</v>
      </c>
      <c r="R506" s="113">
        <v>696000</v>
      </c>
      <c r="S506" s="280">
        <v>696000</v>
      </c>
      <c r="T506" s="281">
        <f t="shared" si="166"/>
        <v>0</v>
      </c>
      <c r="U506" s="280"/>
      <c r="V506" s="280">
        <v>1729</v>
      </c>
      <c r="W506" s="280">
        <v>550</v>
      </c>
      <c r="X506" s="280"/>
      <c r="Y506" s="113"/>
      <c r="Z506" s="113"/>
      <c r="AA506" s="275"/>
      <c r="AB506" s="113"/>
      <c r="AC506" s="113"/>
      <c r="AD506" s="113"/>
      <c r="AE506" s="133"/>
      <c r="AF506" s="115"/>
      <c r="AG506" s="133"/>
      <c r="AH506" s="133"/>
      <c r="AI506" s="132">
        <f t="shared" ref="AI506:AI524" si="167">S506+U506+V506+W506+X506+AC506+AD506+AE506</f>
        <v>698279</v>
      </c>
      <c r="AJ506" s="132">
        <f t="shared" ref="AJ506:AJ524" si="168">S506+U506+V506+W506+X506</f>
        <v>698279</v>
      </c>
      <c r="AK506" s="133">
        <f t="shared" ref="AK506:AK524" si="169">AI506-AJ506</f>
        <v>0</v>
      </c>
      <c r="AL506" s="132"/>
      <c r="AM506" s="133" t="s">
        <v>886</v>
      </c>
      <c r="AN506" s="246">
        <v>44843</v>
      </c>
      <c r="AO506" s="137"/>
      <c r="AP506" s="97"/>
      <c r="AQ506" s="97"/>
      <c r="AR506" s="97"/>
      <c r="AS506" s="97"/>
      <c r="AT506" s="97"/>
      <c r="AU506" s="97"/>
      <c r="AV506" s="97"/>
      <c r="AW506" s="97"/>
      <c r="AX506" s="97"/>
      <c r="AY506" s="97"/>
      <c r="AZ506" s="97"/>
      <c r="BA506" s="97"/>
      <c r="BB506" s="97"/>
      <c r="BC506" s="97"/>
      <c r="BD506" s="97"/>
      <c r="BE506" s="97"/>
    </row>
    <row r="507" customHeight="1" spans="1:57">
      <c r="A507" s="115" t="s">
        <v>5647</v>
      </c>
      <c r="B507" s="111" t="s">
        <v>5648</v>
      </c>
      <c r="C507" s="111" t="s">
        <v>5649</v>
      </c>
      <c r="D507" s="121" t="s">
        <v>5650</v>
      </c>
      <c r="E507" s="266" t="s">
        <v>5651</v>
      </c>
      <c r="F507" s="267">
        <v>1</v>
      </c>
      <c r="G507" s="268">
        <v>1743</v>
      </c>
      <c r="H507" s="268">
        <v>16.5</v>
      </c>
      <c r="I507" s="274" t="s">
        <v>2657</v>
      </c>
      <c r="J507" s="113" t="s">
        <v>5652</v>
      </c>
      <c r="K507" s="266">
        <v>18.47</v>
      </c>
      <c r="L507" s="266" t="s">
        <v>4382</v>
      </c>
      <c r="M507" s="275" t="s">
        <v>4382</v>
      </c>
      <c r="N507" s="113" t="s">
        <v>66</v>
      </c>
      <c r="O507" s="113"/>
      <c r="P507" s="113"/>
      <c r="Q507" s="113">
        <v>47956.47</v>
      </c>
      <c r="R507" s="113">
        <v>885756</v>
      </c>
      <c r="S507" s="280">
        <v>445756</v>
      </c>
      <c r="T507" s="281">
        <f t="shared" si="166"/>
        <v>440000</v>
      </c>
      <c r="U507" s="280"/>
      <c r="V507" s="280"/>
      <c r="W507" s="280"/>
      <c r="X507" s="280"/>
      <c r="Y507" s="113"/>
      <c r="Z507" s="113"/>
      <c r="AA507" s="275"/>
      <c r="AB507" s="113"/>
      <c r="AC507" s="113"/>
      <c r="AD507" s="113"/>
      <c r="AE507" s="133"/>
      <c r="AF507" s="115"/>
      <c r="AG507" s="133" t="s">
        <v>5653</v>
      </c>
      <c r="AH507" s="133"/>
      <c r="AI507" s="132">
        <f t="shared" si="167"/>
        <v>445756</v>
      </c>
      <c r="AJ507" s="132">
        <f t="shared" si="168"/>
        <v>445756</v>
      </c>
      <c r="AK507" s="133">
        <f t="shared" si="169"/>
        <v>0</v>
      </c>
      <c r="AL507" s="132"/>
      <c r="AM507" s="133" t="s">
        <v>886</v>
      </c>
      <c r="AN507" s="246">
        <v>44843</v>
      </c>
      <c r="AO507" s="137"/>
      <c r="AP507" s="97"/>
      <c r="AQ507" s="97"/>
      <c r="AR507" s="97"/>
      <c r="AS507" s="97"/>
      <c r="AT507" s="97"/>
      <c r="AU507" s="97"/>
      <c r="AV507" s="97"/>
      <c r="AW507" s="97"/>
      <c r="AX507" s="97"/>
      <c r="AY507" s="97"/>
      <c r="AZ507" s="97"/>
      <c r="BA507" s="97"/>
      <c r="BB507" s="97"/>
      <c r="BC507" s="97"/>
      <c r="BD507" s="97"/>
      <c r="BE507" s="97"/>
    </row>
    <row r="508" customHeight="1" spans="1:57">
      <c r="A508" s="115" t="s">
        <v>5654</v>
      </c>
      <c r="B508" s="111" t="s">
        <v>5655</v>
      </c>
      <c r="C508" s="111" t="s">
        <v>5656</v>
      </c>
      <c r="D508" s="121"/>
      <c r="E508" s="266" t="s">
        <v>5657</v>
      </c>
      <c r="F508" s="267">
        <v>1</v>
      </c>
      <c r="G508" s="268">
        <v>1170</v>
      </c>
      <c r="H508" s="268">
        <v>13.87</v>
      </c>
      <c r="I508" s="274" t="s">
        <v>2665</v>
      </c>
      <c r="J508" s="113" t="s">
        <v>5658</v>
      </c>
      <c r="K508" s="266">
        <v>18</v>
      </c>
      <c r="L508" s="266" t="s">
        <v>5659</v>
      </c>
      <c r="M508" s="275" t="s">
        <v>5660</v>
      </c>
      <c r="N508" s="113" t="s">
        <v>66</v>
      </c>
      <c r="O508" s="113"/>
      <c r="P508" s="113"/>
      <c r="Q508" s="113">
        <v>51117.94</v>
      </c>
      <c r="R508" s="113">
        <v>920123</v>
      </c>
      <c r="S508" s="280">
        <v>460123</v>
      </c>
      <c r="T508" s="281">
        <f t="shared" si="166"/>
        <v>460000</v>
      </c>
      <c r="U508" s="280"/>
      <c r="V508" s="280"/>
      <c r="W508" s="280"/>
      <c r="X508" s="280"/>
      <c r="Y508" s="113"/>
      <c r="Z508" s="113"/>
      <c r="AA508" s="275"/>
      <c r="AB508" s="113"/>
      <c r="AC508" s="113"/>
      <c r="AD508" s="113"/>
      <c r="AE508" s="133"/>
      <c r="AF508" s="115"/>
      <c r="AG508" s="133"/>
      <c r="AH508" s="133"/>
      <c r="AI508" s="132">
        <f t="shared" si="167"/>
        <v>460123</v>
      </c>
      <c r="AJ508" s="132">
        <f t="shared" si="168"/>
        <v>460123</v>
      </c>
      <c r="AK508" s="133">
        <f t="shared" si="169"/>
        <v>0</v>
      </c>
      <c r="AL508" s="132"/>
      <c r="AM508" s="133" t="s">
        <v>886</v>
      </c>
      <c r="AN508" s="246">
        <v>44843</v>
      </c>
      <c r="AP508" s="202"/>
      <c r="AQ508" s="202"/>
      <c r="AR508" s="202"/>
      <c r="AS508" s="202"/>
      <c r="AT508" s="202"/>
      <c r="AU508" s="202"/>
      <c r="AV508" s="202"/>
      <c r="AW508" s="202"/>
      <c r="AX508" s="202"/>
      <c r="AY508" s="202"/>
      <c r="AZ508" s="202"/>
      <c r="BA508" s="202"/>
      <c r="BB508" s="202"/>
      <c r="BC508" s="202"/>
      <c r="BD508" s="202"/>
      <c r="BE508" s="202"/>
    </row>
    <row r="509" s="96" customFormat="1" customHeight="1" spans="1:41">
      <c r="A509" s="115" t="s">
        <v>5661</v>
      </c>
      <c r="B509" s="115" t="s">
        <v>5662</v>
      </c>
      <c r="C509" s="155" t="s">
        <v>5663</v>
      </c>
      <c r="D509" s="291" t="s">
        <v>5664</v>
      </c>
      <c r="E509" s="156" t="s">
        <v>5665</v>
      </c>
      <c r="F509" s="115">
        <v>3</v>
      </c>
      <c r="G509" s="115">
        <v>398</v>
      </c>
      <c r="H509" s="156">
        <v>29.52</v>
      </c>
      <c r="I509" s="115" t="s">
        <v>2665</v>
      </c>
      <c r="J509" s="181" t="s">
        <v>5666</v>
      </c>
      <c r="K509" s="156">
        <v>30.08</v>
      </c>
      <c r="L509" s="115" t="s">
        <v>3401</v>
      </c>
      <c r="M509" s="246" t="s">
        <v>2941</v>
      </c>
      <c r="N509" s="115" t="s">
        <v>56</v>
      </c>
      <c r="O509" s="181"/>
      <c r="P509" s="181"/>
      <c r="Q509" s="115">
        <v>30963.33</v>
      </c>
      <c r="R509" s="115">
        <v>914038</v>
      </c>
      <c r="S509" s="293">
        <v>914038</v>
      </c>
      <c r="T509" s="293">
        <v>0</v>
      </c>
      <c r="U509" s="293"/>
      <c r="V509" s="293">
        <v>1918</v>
      </c>
      <c r="W509" s="293">
        <v>550</v>
      </c>
      <c r="X509" s="293">
        <v>14871</v>
      </c>
      <c r="Y509" s="181" t="s">
        <v>2669</v>
      </c>
      <c r="Z509" s="181" t="s">
        <v>48</v>
      </c>
      <c r="AA509" s="245">
        <v>44020</v>
      </c>
      <c r="AB509" s="181" t="s">
        <v>5667</v>
      </c>
      <c r="AC509" s="239"/>
      <c r="AD509" s="239"/>
      <c r="AE509" s="133"/>
      <c r="AF509" s="115"/>
      <c r="AG509" s="133"/>
      <c r="AH509" s="133"/>
      <c r="AI509" s="132">
        <f t="shared" si="167"/>
        <v>931377</v>
      </c>
      <c r="AJ509" s="132">
        <f t="shared" si="168"/>
        <v>931377</v>
      </c>
      <c r="AK509" s="133">
        <f t="shared" si="169"/>
        <v>0</v>
      </c>
      <c r="AL509" s="132"/>
      <c r="AM509" s="133" t="s">
        <v>854</v>
      </c>
      <c r="AN509" s="246">
        <v>44843</v>
      </c>
      <c r="AO509" s="100"/>
    </row>
    <row r="510" s="97" customFormat="1" customHeight="1" spans="1:41">
      <c r="A510" s="115" t="s">
        <v>5668</v>
      </c>
      <c r="B510" s="115" t="s">
        <v>5669</v>
      </c>
      <c r="C510" s="155" t="s">
        <v>5670</v>
      </c>
      <c r="D510" s="291" t="s">
        <v>5671</v>
      </c>
      <c r="E510" s="156" t="s">
        <v>5672</v>
      </c>
      <c r="F510" s="115">
        <v>1</v>
      </c>
      <c r="G510" s="115">
        <v>1644</v>
      </c>
      <c r="H510" s="156">
        <v>17.68</v>
      </c>
      <c r="I510" s="115" t="s">
        <v>2665</v>
      </c>
      <c r="J510" s="181" t="s">
        <v>5673</v>
      </c>
      <c r="K510" s="156">
        <v>19.68</v>
      </c>
      <c r="L510" s="115" t="s">
        <v>2711</v>
      </c>
      <c r="M510" s="246" t="s">
        <v>5674</v>
      </c>
      <c r="N510" s="115" t="s">
        <v>56</v>
      </c>
      <c r="O510" s="181"/>
      <c r="P510" s="181"/>
      <c r="Q510" s="115">
        <v>48033.2317073171</v>
      </c>
      <c r="R510" s="115">
        <v>849228</v>
      </c>
      <c r="S510" s="293">
        <v>849228</v>
      </c>
      <c r="T510" s="293">
        <v>0</v>
      </c>
      <c r="U510" s="293"/>
      <c r="V510" s="293">
        <v>1149</v>
      </c>
      <c r="W510" s="293">
        <v>550</v>
      </c>
      <c r="X510" s="293">
        <v>94367</v>
      </c>
      <c r="Y510" s="181" t="s">
        <v>2669</v>
      </c>
      <c r="Z510" s="181"/>
      <c r="AA510" s="245"/>
      <c r="AB510" s="181"/>
      <c r="AC510" s="239"/>
      <c r="AD510" s="239"/>
      <c r="AE510" s="133"/>
      <c r="AF510" s="115"/>
      <c r="AG510" s="133"/>
      <c r="AH510" s="133"/>
      <c r="AI510" s="132">
        <f t="shared" si="167"/>
        <v>945294</v>
      </c>
      <c r="AJ510" s="132">
        <f t="shared" si="168"/>
        <v>945294</v>
      </c>
      <c r="AK510" s="133">
        <f t="shared" si="169"/>
        <v>0</v>
      </c>
      <c r="AL510" s="132" t="s">
        <v>5675</v>
      </c>
      <c r="AM510" s="133" t="s">
        <v>854</v>
      </c>
      <c r="AN510" s="246">
        <v>44843</v>
      </c>
      <c r="AO510" s="137"/>
    </row>
    <row r="511" s="97" customFormat="1" customHeight="1" spans="1:41">
      <c r="A511" s="115" t="s">
        <v>5676</v>
      </c>
      <c r="B511" s="111" t="s">
        <v>5677</v>
      </c>
      <c r="C511" s="111" t="s">
        <v>5678</v>
      </c>
      <c r="D511" s="121" t="s">
        <v>5679</v>
      </c>
      <c r="E511" s="113" t="s">
        <v>5680</v>
      </c>
      <c r="F511" s="267">
        <v>3</v>
      </c>
      <c r="G511" s="268">
        <v>3787</v>
      </c>
      <c r="H511" s="274">
        <v>15.4</v>
      </c>
      <c r="I511" s="274" t="s">
        <v>2657</v>
      </c>
      <c r="J511" s="113" t="s">
        <v>5681</v>
      </c>
      <c r="K511" s="113">
        <v>16.13</v>
      </c>
      <c r="L511" s="266" t="s">
        <v>4587</v>
      </c>
      <c r="M511" s="266" t="s">
        <v>3009</v>
      </c>
      <c r="N511" s="113" t="s">
        <v>66</v>
      </c>
      <c r="O511" s="113"/>
      <c r="P511" s="113"/>
      <c r="Q511" s="113">
        <v>32133.85</v>
      </c>
      <c r="R511" s="113">
        <v>518319</v>
      </c>
      <c r="S511" s="121">
        <v>268319</v>
      </c>
      <c r="T511" s="292">
        <v>250000</v>
      </c>
      <c r="U511" s="113"/>
      <c r="V511" s="113"/>
      <c r="W511" s="113"/>
      <c r="X511" s="113"/>
      <c r="Y511" s="113"/>
      <c r="Z511" s="113"/>
      <c r="AA511" s="113"/>
      <c r="AB511" s="113"/>
      <c r="AC511" s="113"/>
      <c r="AD511" s="113"/>
      <c r="AE511" s="133"/>
      <c r="AF511" s="115"/>
      <c r="AG511" s="133"/>
      <c r="AH511" s="133"/>
      <c r="AI511" s="132">
        <f t="shared" si="167"/>
        <v>268319</v>
      </c>
      <c r="AJ511" s="132">
        <f t="shared" si="168"/>
        <v>268319</v>
      </c>
      <c r="AK511" s="133">
        <f t="shared" si="169"/>
        <v>0</v>
      </c>
      <c r="AL511" s="132"/>
      <c r="AM511" s="133" t="s">
        <v>900</v>
      </c>
      <c r="AN511" s="246">
        <v>44843</v>
      </c>
      <c r="AO511" s="137"/>
    </row>
    <row r="512" s="97" customFormat="1" customHeight="1" spans="1:41">
      <c r="A512" s="115" t="s">
        <v>5682</v>
      </c>
      <c r="B512" s="111" t="s">
        <v>5683</v>
      </c>
      <c r="C512" s="111" t="s">
        <v>5684</v>
      </c>
      <c r="D512" s="121" t="s">
        <v>5685</v>
      </c>
      <c r="E512" s="113">
        <v>18637198247</v>
      </c>
      <c r="F512" s="267">
        <v>3</v>
      </c>
      <c r="G512" s="268">
        <v>3716</v>
      </c>
      <c r="H512" s="274">
        <v>16.1</v>
      </c>
      <c r="I512" s="274" t="s">
        <v>2657</v>
      </c>
      <c r="J512" s="113" t="s">
        <v>5686</v>
      </c>
      <c r="K512" s="113">
        <v>15.62</v>
      </c>
      <c r="L512" s="266" t="s">
        <v>4771</v>
      </c>
      <c r="M512" s="266" t="s">
        <v>4239</v>
      </c>
      <c r="N512" s="113" t="s">
        <v>66</v>
      </c>
      <c r="O512" s="113"/>
      <c r="P512" s="113"/>
      <c r="Q512" s="113">
        <v>32010.24</v>
      </c>
      <c r="R512" s="113">
        <v>515365</v>
      </c>
      <c r="S512" s="121">
        <v>265365</v>
      </c>
      <c r="T512" s="292">
        <v>250000</v>
      </c>
      <c r="U512" s="113"/>
      <c r="V512" s="113">
        <v>1046</v>
      </c>
      <c r="W512" s="113">
        <v>550</v>
      </c>
      <c r="X512" s="113"/>
      <c r="Y512" s="113" t="s">
        <v>2669</v>
      </c>
      <c r="Z512" s="113"/>
      <c r="AA512" s="113"/>
      <c r="AB512" s="113"/>
      <c r="AC512" s="113">
        <v>1245</v>
      </c>
      <c r="AD512" s="113"/>
      <c r="AE512" s="133"/>
      <c r="AF512" s="115"/>
      <c r="AG512" s="133"/>
      <c r="AH512" s="133"/>
      <c r="AI512" s="132">
        <f t="shared" si="167"/>
        <v>268206</v>
      </c>
      <c r="AJ512" s="132">
        <f t="shared" si="168"/>
        <v>266961</v>
      </c>
      <c r="AK512" s="133">
        <f t="shared" si="169"/>
        <v>1245</v>
      </c>
      <c r="AL512" s="132"/>
      <c r="AM512" s="133" t="s">
        <v>900</v>
      </c>
      <c r="AN512" s="246">
        <v>44843</v>
      </c>
      <c r="AO512" s="137"/>
    </row>
    <row r="513" s="97" customFormat="1" customHeight="1" spans="1:41">
      <c r="A513" s="115" t="s">
        <v>5687</v>
      </c>
      <c r="B513" s="111" t="s">
        <v>5688</v>
      </c>
      <c r="C513" s="554" t="s">
        <v>5689</v>
      </c>
      <c r="D513" s="121"/>
      <c r="E513" s="266">
        <v>13462602589</v>
      </c>
      <c r="F513" s="267">
        <v>2</v>
      </c>
      <c r="G513" s="268">
        <v>246</v>
      </c>
      <c r="H513" s="268">
        <v>27.2</v>
      </c>
      <c r="I513" s="274" t="s">
        <v>2665</v>
      </c>
      <c r="J513" s="113" t="s">
        <v>5690</v>
      </c>
      <c r="K513" s="266">
        <v>23.4</v>
      </c>
      <c r="L513" s="266" t="s">
        <v>2793</v>
      </c>
      <c r="M513" s="275" t="s">
        <v>2793</v>
      </c>
      <c r="N513" s="113" t="s">
        <v>56</v>
      </c>
      <c r="O513" s="113"/>
      <c r="P513" s="113"/>
      <c r="Q513" s="113">
        <v>28764.4871794872</v>
      </c>
      <c r="R513" s="113">
        <v>673089</v>
      </c>
      <c r="S513" s="280">
        <v>673089</v>
      </c>
      <c r="T513" s="281">
        <f>R513-S513</f>
        <v>0</v>
      </c>
      <c r="U513" s="280"/>
      <c r="V513" s="280"/>
      <c r="W513" s="280"/>
      <c r="X513" s="280"/>
      <c r="Y513" s="113"/>
      <c r="Z513" s="113"/>
      <c r="AA513" s="275"/>
      <c r="AB513" s="113"/>
      <c r="AC513" s="113"/>
      <c r="AD513" s="113"/>
      <c r="AE513" s="133"/>
      <c r="AF513" s="115"/>
      <c r="AG513" s="133"/>
      <c r="AH513" s="133"/>
      <c r="AI513" s="132">
        <f t="shared" si="167"/>
        <v>673089</v>
      </c>
      <c r="AJ513" s="132">
        <f t="shared" si="168"/>
        <v>673089</v>
      </c>
      <c r="AK513" s="133">
        <f t="shared" si="169"/>
        <v>0</v>
      </c>
      <c r="AL513" s="132"/>
      <c r="AM513" s="133" t="s">
        <v>886</v>
      </c>
      <c r="AN513" s="246">
        <v>44843</v>
      </c>
      <c r="AO513" s="137"/>
    </row>
    <row r="514" s="97" customFormat="1" customHeight="1" spans="1:41">
      <c r="A514" s="115" t="s">
        <v>5691</v>
      </c>
      <c r="B514" s="111" t="s">
        <v>5692</v>
      </c>
      <c r="C514" s="111" t="s">
        <v>5693</v>
      </c>
      <c r="D514" s="121" t="s">
        <v>5694</v>
      </c>
      <c r="E514" s="266">
        <v>15737882268</v>
      </c>
      <c r="F514" s="267">
        <v>4</v>
      </c>
      <c r="G514" s="268">
        <v>4114</v>
      </c>
      <c r="H514" s="268">
        <v>26.71</v>
      </c>
      <c r="I514" s="274" t="s">
        <v>2665</v>
      </c>
      <c r="J514" s="113" t="s">
        <v>5695</v>
      </c>
      <c r="K514" s="266">
        <v>35.65</v>
      </c>
      <c r="L514" s="266" t="s">
        <v>2711</v>
      </c>
      <c r="M514" s="275" t="s">
        <v>2799</v>
      </c>
      <c r="N514" s="113" t="s">
        <v>66</v>
      </c>
      <c r="O514" s="113"/>
      <c r="P514" s="113"/>
      <c r="Q514" s="113">
        <v>19521.7110799439</v>
      </c>
      <c r="R514" s="113">
        <v>695949</v>
      </c>
      <c r="S514" s="280">
        <v>355949</v>
      </c>
      <c r="T514" s="281">
        <f>R514-S514</f>
        <v>340000</v>
      </c>
      <c r="U514" s="280"/>
      <c r="V514" s="280"/>
      <c r="W514" s="280"/>
      <c r="X514" s="280"/>
      <c r="Y514" s="113"/>
      <c r="Z514" s="113"/>
      <c r="AA514" s="275"/>
      <c r="AB514" s="113"/>
      <c r="AC514" s="113"/>
      <c r="AD514" s="113"/>
      <c r="AE514" s="133"/>
      <c r="AF514" s="115"/>
      <c r="AG514" s="133"/>
      <c r="AH514" s="133"/>
      <c r="AI514" s="132">
        <f t="shared" si="167"/>
        <v>355949</v>
      </c>
      <c r="AJ514" s="132">
        <f t="shared" si="168"/>
        <v>355949</v>
      </c>
      <c r="AK514" s="133">
        <f t="shared" si="169"/>
        <v>0</v>
      </c>
      <c r="AL514" s="132"/>
      <c r="AM514" s="133" t="s">
        <v>886</v>
      </c>
      <c r="AN514" s="246">
        <v>44843</v>
      </c>
      <c r="AO514" s="137"/>
    </row>
    <row r="515" s="97" customFormat="1" customHeight="1" spans="1:41">
      <c r="A515" s="115" t="s">
        <v>5696</v>
      </c>
      <c r="B515" s="111" t="s">
        <v>5697</v>
      </c>
      <c r="C515" s="554" t="s">
        <v>5698</v>
      </c>
      <c r="D515" s="121" t="s">
        <v>5699</v>
      </c>
      <c r="E515" s="266" t="s">
        <v>5700</v>
      </c>
      <c r="F515" s="267">
        <v>1</v>
      </c>
      <c r="G515" s="268">
        <v>1594</v>
      </c>
      <c r="H515" s="268">
        <v>20.92</v>
      </c>
      <c r="I515" s="274" t="s">
        <v>2657</v>
      </c>
      <c r="J515" s="113" t="s">
        <v>5701</v>
      </c>
      <c r="K515" s="266">
        <v>22.66</v>
      </c>
      <c r="L515" s="266" t="s">
        <v>2868</v>
      </c>
      <c r="M515" s="275" t="s">
        <v>5702</v>
      </c>
      <c r="N515" s="113" t="s">
        <v>56</v>
      </c>
      <c r="O515" s="113"/>
      <c r="P515" s="113"/>
      <c r="Q515" s="113">
        <v>46957.84</v>
      </c>
      <c r="R515" s="113">
        <v>982358</v>
      </c>
      <c r="S515" s="280">
        <v>982358</v>
      </c>
      <c r="T515" s="281">
        <f>R515-S515</f>
        <v>0</v>
      </c>
      <c r="U515" s="280"/>
      <c r="V515" s="280">
        <v>1359</v>
      </c>
      <c r="W515" s="280">
        <v>550</v>
      </c>
      <c r="X515" s="280"/>
      <c r="Y515" s="113"/>
      <c r="Z515" s="113"/>
      <c r="AA515" s="275"/>
      <c r="AB515" s="113"/>
      <c r="AC515" s="113"/>
      <c r="AD515" s="113"/>
      <c r="AE515" s="133"/>
      <c r="AF515" s="115"/>
      <c r="AG515" s="133"/>
      <c r="AH515" s="133"/>
      <c r="AI515" s="132">
        <f t="shared" si="167"/>
        <v>984267</v>
      </c>
      <c r="AJ515" s="132">
        <f t="shared" si="168"/>
        <v>984267</v>
      </c>
      <c r="AK515" s="133">
        <f t="shared" si="169"/>
        <v>0</v>
      </c>
      <c r="AL515" s="132"/>
      <c r="AM515" s="133" t="s">
        <v>886</v>
      </c>
      <c r="AN515" s="246">
        <v>44843</v>
      </c>
      <c r="AO515" s="137"/>
    </row>
    <row r="516" s="97" customFormat="1" customHeight="1" spans="1:41">
      <c r="A516" s="115" t="s">
        <v>5703</v>
      </c>
      <c r="B516" s="111" t="s">
        <v>581</v>
      </c>
      <c r="C516" s="554" t="s">
        <v>5704</v>
      </c>
      <c r="D516" s="113" t="s">
        <v>5705</v>
      </c>
      <c r="E516" s="113">
        <v>13838676857</v>
      </c>
      <c r="F516" s="267">
        <v>1</v>
      </c>
      <c r="G516" s="268">
        <v>1595</v>
      </c>
      <c r="H516" s="274">
        <v>20.92</v>
      </c>
      <c r="I516" s="274" t="s">
        <v>2657</v>
      </c>
      <c r="J516" s="113" t="s">
        <v>5706</v>
      </c>
      <c r="K516" s="116">
        <v>22.66</v>
      </c>
      <c r="L516" s="266" t="s">
        <v>2868</v>
      </c>
      <c r="M516" s="266" t="s">
        <v>2876</v>
      </c>
      <c r="N516" s="113" t="s">
        <v>66</v>
      </c>
      <c r="O516" s="113"/>
      <c r="P516" s="113"/>
      <c r="Q516" s="113">
        <v>47661.08</v>
      </c>
      <c r="R516" s="113">
        <v>997070</v>
      </c>
      <c r="S516" s="121">
        <v>547070</v>
      </c>
      <c r="T516" s="292">
        <v>450000</v>
      </c>
      <c r="U516" s="113"/>
      <c r="V516" s="113">
        <v>1359</v>
      </c>
      <c r="W516" s="113">
        <v>550</v>
      </c>
      <c r="X516" s="113"/>
      <c r="Y516" s="113" t="s">
        <v>2669</v>
      </c>
      <c r="Z516" s="113" t="s">
        <v>48</v>
      </c>
      <c r="AA516" s="304">
        <v>44185</v>
      </c>
      <c r="AB516" s="113"/>
      <c r="AC516" s="113"/>
      <c r="AD516" s="113"/>
      <c r="AE516" s="133"/>
      <c r="AF516" s="115"/>
      <c r="AG516" s="133"/>
      <c r="AH516" s="133"/>
      <c r="AI516" s="132">
        <f t="shared" si="167"/>
        <v>548979</v>
      </c>
      <c r="AJ516" s="132">
        <f t="shared" si="168"/>
        <v>548979</v>
      </c>
      <c r="AK516" s="133">
        <f t="shared" si="169"/>
        <v>0</v>
      </c>
      <c r="AL516" s="132"/>
      <c r="AM516" s="133" t="s">
        <v>900</v>
      </c>
      <c r="AN516" s="246">
        <v>44843</v>
      </c>
      <c r="AO516" s="137"/>
    </row>
    <row r="517" s="97" customFormat="1" customHeight="1" spans="1:41">
      <c r="A517" s="115" t="s">
        <v>5707</v>
      </c>
      <c r="B517" s="296" t="s">
        <v>581</v>
      </c>
      <c r="C517" s="556" t="s">
        <v>5704</v>
      </c>
      <c r="D517" s="267" t="s">
        <v>5705</v>
      </c>
      <c r="E517" s="267">
        <v>13838673857</v>
      </c>
      <c r="F517" s="267">
        <v>1</v>
      </c>
      <c r="G517" s="268">
        <v>1715</v>
      </c>
      <c r="H517" s="274">
        <v>17.73</v>
      </c>
      <c r="I517" s="274" t="s">
        <v>2657</v>
      </c>
      <c r="J517" s="267" t="s">
        <v>5708</v>
      </c>
      <c r="K517" s="267">
        <v>22.75</v>
      </c>
      <c r="L517" s="268" t="s">
        <v>5709</v>
      </c>
      <c r="M517" s="268" t="s">
        <v>2876</v>
      </c>
      <c r="N517" s="267" t="s">
        <v>66</v>
      </c>
      <c r="O517" s="267"/>
      <c r="P517" s="267"/>
      <c r="Q517" s="267">
        <v>47744.68</v>
      </c>
      <c r="R517" s="267">
        <v>846513</v>
      </c>
      <c r="S517" s="292">
        <v>516513</v>
      </c>
      <c r="T517" s="292">
        <v>330000</v>
      </c>
      <c r="U517" s="267"/>
      <c r="V517" s="267">
        <v>1152</v>
      </c>
      <c r="W517" s="267">
        <v>550</v>
      </c>
      <c r="X517" s="267"/>
      <c r="Y517" s="267" t="s">
        <v>2669</v>
      </c>
      <c r="Z517" s="267" t="s">
        <v>48</v>
      </c>
      <c r="AA517" s="305">
        <v>44185</v>
      </c>
      <c r="AB517" s="267"/>
      <c r="AC517" s="113"/>
      <c r="AD517" s="113"/>
      <c r="AE517" s="133"/>
      <c r="AF517" s="115"/>
      <c r="AG517" s="133"/>
      <c r="AH517" s="133"/>
      <c r="AI517" s="132">
        <f t="shared" si="167"/>
        <v>518215</v>
      </c>
      <c r="AJ517" s="132">
        <f t="shared" si="168"/>
        <v>518215</v>
      </c>
      <c r="AK517" s="133">
        <f t="shared" si="169"/>
        <v>0</v>
      </c>
      <c r="AL517" s="132"/>
      <c r="AM517" s="133" t="s">
        <v>900</v>
      </c>
      <c r="AN517" s="246">
        <v>44843</v>
      </c>
      <c r="AO517" s="137"/>
    </row>
    <row r="518" s="97" customFormat="1" customHeight="1" spans="1:57">
      <c r="A518" s="115" t="s">
        <v>5710</v>
      </c>
      <c r="B518" s="111" t="s">
        <v>5711</v>
      </c>
      <c r="C518" s="554" t="s">
        <v>5712</v>
      </c>
      <c r="D518" s="113" t="s">
        <v>5713</v>
      </c>
      <c r="E518" s="113">
        <v>13838375289</v>
      </c>
      <c r="F518" s="267">
        <v>4</v>
      </c>
      <c r="G518" s="268">
        <v>4177</v>
      </c>
      <c r="H518" s="274">
        <v>32.49</v>
      </c>
      <c r="I518" s="274" t="s">
        <v>2657</v>
      </c>
      <c r="J518" s="113" t="s">
        <v>5714</v>
      </c>
      <c r="K518" s="116">
        <v>29.9</v>
      </c>
      <c r="L518" s="266" t="s">
        <v>2659</v>
      </c>
      <c r="M518" s="266" t="s">
        <v>2763</v>
      </c>
      <c r="N518" s="113" t="s">
        <v>66</v>
      </c>
      <c r="O518" s="113"/>
      <c r="P518" s="113"/>
      <c r="Q518" s="113">
        <v>25914.88</v>
      </c>
      <c r="R518" s="113">
        <v>841974</v>
      </c>
      <c r="S518" s="121">
        <v>421974</v>
      </c>
      <c r="T518" s="121"/>
      <c r="U518" s="113">
        <v>420000</v>
      </c>
      <c r="V518" s="113">
        <v>2111</v>
      </c>
      <c r="W518" s="113">
        <v>550</v>
      </c>
      <c r="X518" s="113"/>
      <c r="Y518" s="113" t="s">
        <v>2669</v>
      </c>
      <c r="Z518" s="113" t="s">
        <v>48</v>
      </c>
      <c r="AA518" s="304">
        <v>44020</v>
      </c>
      <c r="AB518" s="267"/>
      <c r="AC518" s="113">
        <v>1262</v>
      </c>
      <c r="AD518" s="113"/>
      <c r="AE518" s="133"/>
      <c r="AF518" s="115"/>
      <c r="AG518" s="133"/>
      <c r="AH518" s="133"/>
      <c r="AI518" s="132">
        <f t="shared" si="167"/>
        <v>845897</v>
      </c>
      <c r="AJ518" s="132">
        <f t="shared" si="168"/>
        <v>844635</v>
      </c>
      <c r="AK518" s="133">
        <f t="shared" si="169"/>
        <v>1262</v>
      </c>
      <c r="AL518" s="132"/>
      <c r="AM518" s="133" t="s">
        <v>900</v>
      </c>
      <c r="AN518" s="246">
        <v>44843</v>
      </c>
      <c r="AO518" s="100"/>
      <c r="AP518" s="96"/>
      <c r="AQ518" s="96"/>
      <c r="AR518" s="96"/>
      <c r="AS518" s="96"/>
      <c r="AT518" s="96"/>
      <c r="AU518" s="96"/>
      <c r="AV518" s="96"/>
      <c r="AW518" s="96"/>
      <c r="AX518" s="96"/>
      <c r="AY518" s="96"/>
      <c r="AZ518" s="96"/>
      <c r="BA518" s="96"/>
      <c r="BB518" s="96"/>
      <c r="BC518" s="96"/>
      <c r="BD518" s="96"/>
      <c r="BE518" s="96"/>
    </row>
    <row r="519" s="97" customFormat="1" customHeight="1" spans="1:57">
      <c r="A519" s="115" t="s">
        <v>5715</v>
      </c>
      <c r="B519" s="115" t="s">
        <v>5716</v>
      </c>
      <c r="C519" s="155" t="s">
        <v>5717</v>
      </c>
      <c r="D519" s="291" t="s">
        <v>5718</v>
      </c>
      <c r="E519" s="156">
        <v>15637110736</v>
      </c>
      <c r="F519" s="115">
        <v>3</v>
      </c>
      <c r="G519" s="115">
        <v>3633</v>
      </c>
      <c r="H519" s="156">
        <v>20.12</v>
      </c>
      <c r="I519" s="115" t="s">
        <v>2657</v>
      </c>
      <c r="J519" s="181" t="s">
        <v>5719</v>
      </c>
      <c r="K519" s="156">
        <v>17.69</v>
      </c>
      <c r="L519" s="115" t="s">
        <v>3073</v>
      </c>
      <c r="M519" s="246" t="s">
        <v>3911</v>
      </c>
      <c r="N519" s="115" t="s">
        <v>56</v>
      </c>
      <c r="O519" s="181"/>
      <c r="P519" s="181"/>
      <c r="Q519" s="115">
        <v>30813.68</v>
      </c>
      <c r="R519" s="115">
        <v>545094</v>
      </c>
      <c r="S519" s="293">
        <v>545094</v>
      </c>
      <c r="T519" s="293">
        <v>0</v>
      </c>
      <c r="U519" s="293"/>
      <c r="V519" s="293"/>
      <c r="W519" s="293"/>
      <c r="X519" s="293"/>
      <c r="Y519" s="181"/>
      <c r="Z519" s="181"/>
      <c r="AA519" s="245"/>
      <c r="AB519" s="181"/>
      <c r="AC519" s="239"/>
      <c r="AD519" s="239"/>
      <c r="AE519" s="133"/>
      <c r="AF519" s="115"/>
      <c r="AG519" s="133"/>
      <c r="AH519" s="133"/>
      <c r="AI519" s="132">
        <f t="shared" si="167"/>
        <v>545094</v>
      </c>
      <c r="AJ519" s="132">
        <f t="shared" si="168"/>
        <v>545094</v>
      </c>
      <c r="AK519" s="133">
        <f t="shared" si="169"/>
        <v>0</v>
      </c>
      <c r="AL519" s="132"/>
      <c r="AM519" s="133" t="s">
        <v>854</v>
      </c>
      <c r="AN519" s="246">
        <v>44843</v>
      </c>
      <c r="AO519" s="100"/>
      <c r="AP519" s="96"/>
      <c r="AQ519" s="96"/>
      <c r="AR519" s="96"/>
      <c r="AS519" s="96"/>
      <c r="AT519" s="96"/>
      <c r="AU519" s="96"/>
      <c r="AV519" s="96"/>
      <c r="AW519" s="96"/>
      <c r="AX519" s="96"/>
      <c r="AY519" s="96"/>
      <c r="AZ519" s="96"/>
      <c r="BA519" s="96"/>
      <c r="BB519" s="96"/>
      <c r="BC519" s="96"/>
      <c r="BD519" s="96"/>
      <c r="BE519" s="96"/>
    </row>
    <row r="520" s="97" customFormat="1" customHeight="1" spans="1:57">
      <c r="A520" s="115" t="s">
        <v>5720</v>
      </c>
      <c r="B520" s="115" t="s">
        <v>5721</v>
      </c>
      <c r="C520" s="155" t="s">
        <v>5722</v>
      </c>
      <c r="D520" s="291" t="s">
        <v>5723</v>
      </c>
      <c r="E520" s="156" t="s">
        <v>5724</v>
      </c>
      <c r="F520" s="115">
        <v>2</v>
      </c>
      <c r="G520" s="115">
        <v>2228</v>
      </c>
      <c r="H520" s="156">
        <v>18.01</v>
      </c>
      <c r="I520" s="115" t="s">
        <v>2665</v>
      </c>
      <c r="J520" s="181" t="s">
        <v>5725</v>
      </c>
      <c r="K520" s="156">
        <v>18</v>
      </c>
      <c r="L520" s="115" t="s">
        <v>5726</v>
      </c>
      <c r="M520" s="246" t="s">
        <v>3787</v>
      </c>
      <c r="N520" s="115" t="s">
        <v>66</v>
      </c>
      <c r="O520" s="181"/>
      <c r="P520" s="181"/>
      <c r="Q520" s="115">
        <v>35275.78</v>
      </c>
      <c r="R520" s="115">
        <v>635317</v>
      </c>
      <c r="S520" s="293">
        <v>325317</v>
      </c>
      <c r="T520" s="293">
        <v>310000</v>
      </c>
      <c r="U520" s="293"/>
      <c r="V520" s="293">
        <v>1170</v>
      </c>
      <c r="W520" s="293">
        <v>550</v>
      </c>
      <c r="X520" s="293"/>
      <c r="Y520" s="181"/>
      <c r="Z520" s="181"/>
      <c r="AA520" s="245"/>
      <c r="AB520" s="181"/>
      <c r="AC520" s="239"/>
      <c r="AD520" s="239"/>
      <c r="AE520" s="133"/>
      <c r="AF520" s="115"/>
      <c r="AG520" s="133"/>
      <c r="AH520" s="133"/>
      <c r="AI520" s="132">
        <f t="shared" si="167"/>
        <v>327037</v>
      </c>
      <c r="AJ520" s="132">
        <f t="shared" si="168"/>
        <v>327037</v>
      </c>
      <c r="AK520" s="133">
        <f t="shared" si="169"/>
        <v>0</v>
      </c>
      <c r="AL520" s="132"/>
      <c r="AM520" s="133" t="s">
        <v>854</v>
      </c>
      <c r="AN520" s="246">
        <v>44843</v>
      </c>
      <c r="AO520" s="100"/>
      <c r="AP520" s="96"/>
      <c r="AQ520" s="96"/>
      <c r="AR520" s="96"/>
      <c r="AS520" s="96"/>
      <c r="AT520" s="96"/>
      <c r="AU520" s="96"/>
      <c r="AV520" s="96"/>
      <c r="AW520" s="96"/>
      <c r="AX520" s="96"/>
      <c r="AY520" s="96"/>
      <c r="AZ520" s="96"/>
      <c r="BA520" s="96"/>
      <c r="BB520" s="96"/>
      <c r="BC520" s="96"/>
      <c r="BD520" s="96"/>
      <c r="BE520" s="96"/>
    </row>
    <row r="521" s="97" customFormat="1" customHeight="1" spans="1:57">
      <c r="A521" s="115" t="s">
        <v>5727</v>
      </c>
      <c r="B521" s="115" t="s">
        <v>5728</v>
      </c>
      <c r="C521" s="555" t="s">
        <v>5729</v>
      </c>
      <c r="D521" s="291" t="s">
        <v>5730</v>
      </c>
      <c r="E521" s="156">
        <v>13007602271</v>
      </c>
      <c r="F521" s="115">
        <v>4</v>
      </c>
      <c r="G521" s="115">
        <v>4142</v>
      </c>
      <c r="H521" s="156">
        <v>25.3</v>
      </c>
      <c r="I521" s="115" t="s">
        <v>2665</v>
      </c>
      <c r="J521" s="181" t="s">
        <v>5731</v>
      </c>
      <c r="K521" s="156">
        <v>28.48</v>
      </c>
      <c r="L521" s="115" t="s">
        <v>2711</v>
      </c>
      <c r="M521" s="246" t="s">
        <v>3842</v>
      </c>
      <c r="N521" s="115" t="s">
        <v>56</v>
      </c>
      <c r="O521" s="181"/>
      <c r="P521" s="181"/>
      <c r="Q521" s="115">
        <v>20736.59</v>
      </c>
      <c r="R521" s="115">
        <v>524636</v>
      </c>
      <c r="S521" s="293">
        <v>524636</v>
      </c>
      <c r="T521" s="293">
        <v>0</v>
      </c>
      <c r="U521" s="293"/>
      <c r="V521" s="293">
        <v>1644</v>
      </c>
      <c r="W521" s="293">
        <v>550</v>
      </c>
      <c r="X521" s="293"/>
      <c r="Y521" s="181" t="s">
        <v>2669</v>
      </c>
      <c r="Z521" s="181" t="s">
        <v>48</v>
      </c>
      <c r="AA521" s="245">
        <v>44036</v>
      </c>
      <c r="AB521" s="181"/>
      <c r="AC521" s="239"/>
      <c r="AD521" s="239"/>
      <c r="AE521" s="133"/>
      <c r="AF521" s="115"/>
      <c r="AG521" s="133"/>
      <c r="AH521" s="133"/>
      <c r="AI521" s="132">
        <f t="shared" si="167"/>
        <v>526830</v>
      </c>
      <c r="AJ521" s="132">
        <f t="shared" si="168"/>
        <v>526830</v>
      </c>
      <c r="AK521" s="133">
        <f t="shared" si="169"/>
        <v>0</v>
      </c>
      <c r="AL521" s="132"/>
      <c r="AM521" s="133" t="s">
        <v>854</v>
      </c>
      <c r="AN521" s="246">
        <v>44843</v>
      </c>
      <c r="AO521" s="100"/>
      <c r="AP521" s="96"/>
      <c r="AQ521" s="96"/>
      <c r="AR521" s="96"/>
      <c r="AS521" s="96"/>
      <c r="AT521" s="96"/>
      <c r="AU521" s="96"/>
      <c r="AV521" s="96"/>
      <c r="AW521" s="96"/>
      <c r="AX521" s="96"/>
      <c r="AY521" s="96"/>
      <c r="AZ521" s="96"/>
      <c r="BA521" s="96"/>
      <c r="BB521" s="96"/>
      <c r="BC521" s="96"/>
      <c r="BD521" s="96"/>
      <c r="BE521" s="96"/>
    </row>
    <row r="522" s="97" customFormat="1" customHeight="1" spans="1:57">
      <c r="A522" s="115" t="s">
        <v>5732</v>
      </c>
      <c r="B522" s="115" t="s">
        <v>5733</v>
      </c>
      <c r="C522" s="155" t="s">
        <v>5734</v>
      </c>
      <c r="D522" s="291" t="s">
        <v>5735</v>
      </c>
      <c r="E522" s="156">
        <v>18137279588</v>
      </c>
      <c r="F522" s="115">
        <v>3</v>
      </c>
      <c r="G522" s="115">
        <v>3525</v>
      </c>
      <c r="H522" s="156">
        <v>19.32</v>
      </c>
      <c r="I522" s="115" t="s">
        <v>2657</v>
      </c>
      <c r="J522" s="181" t="s">
        <v>5736</v>
      </c>
      <c r="K522" s="156">
        <v>18.69</v>
      </c>
      <c r="L522" s="115" t="s">
        <v>5737</v>
      </c>
      <c r="M522" s="246" t="s">
        <v>5738</v>
      </c>
      <c r="N522" s="115" t="s">
        <v>66</v>
      </c>
      <c r="O522" s="181"/>
      <c r="P522" s="181"/>
      <c r="Q522" s="115">
        <v>32071.27</v>
      </c>
      <c r="R522" s="115">
        <v>619617</v>
      </c>
      <c r="S522" s="293">
        <v>319617</v>
      </c>
      <c r="T522" s="293">
        <v>300000</v>
      </c>
      <c r="U522" s="293"/>
      <c r="V522" s="293">
        <v>1255</v>
      </c>
      <c r="W522" s="293">
        <v>550</v>
      </c>
      <c r="X522" s="293"/>
      <c r="Y522" s="181" t="s">
        <v>2669</v>
      </c>
      <c r="Z522" s="181" t="s">
        <v>48</v>
      </c>
      <c r="AA522" s="245">
        <v>44188</v>
      </c>
      <c r="AB522" s="181"/>
      <c r="AC522" s="239"/>
      <c r="AD522" s="239"/>
      <c r="AE522" s="133"/>
      <c r="AF522" s="115"/>
      <c r="AG522" s="133"/>
      <c r="AH522" s="133"/>
      <c r="AI522" s="132">
        <f t="shared" si="167"/>
        <v>321422</v>
      </c>
      <c r="AJ522" s="132">
        <f t="shared" si="168"/>
        <v>321422</v>
      </c>
      <c r="AK522" s="133">
        <f t="shared" si="169"/>
        <v>0</v>
      </c>
      <c r="AL522" s="132"/>
      <c r="AM522" s="133" t="s">
        <v>854</v>
      </c>
      <c r="AN522" s="246">
        <v>44843</v>
      </c>
      <c r="AO522" s="100"/>
      <c r="AP522" s="96"/>
      <c r="AQ522" s="96"/>
      <c r="AR522" s="96"/>
      <c r="AS522" s="96"/>
      <c r="AT522" s="96"/>
      <c r="AU522" s="96"/>
      <c r="AV522" s="96"/>
      <c r="AW522" s="96"/>
      <c r="AX522" s="96"/>
      <c r="AY522" s="96"/>
      <c r="AZ522" s="96"/>
      <c r="BA522" s="96"/>
      <c r="BB522" s="96"/>
      <c r="BC522" s="96"/>
      <c r="BD522" s="96"/>
      <c r="BE522" s="96"/>
    </row>
    <row r="523" s="97" customFormat="1" customHeight="1" spans="1:57">
      <c r="A523" s="115" t="s">
        <v>5739</v>
      </c>
      <c r="B523" s="115" t="s">
        <v>5740</v>
      </c>
      <c r="C523" s="155" t="s">
        <v>5741</v>
      </c>
      <c r="D523" s="291" t="s">
        <v>5742</v>
      </c>
      <c r="E523" s="156" t="s">
        <v>5743</v>
      </c>
      <c r="F523" s="115">
        <v>3</v>
      </c>
      <c r="G523" s="115">
        <v>3181</v>
      </c>
      <c r="H523" s="156">
        <v>14.89</v>
      </c>
      <c r="I523" s="115" t="s">
        <v>2665</v>
      </c>
      <c r="J523" s="181" t="s">
        <v>5744</v>
      </c>
      <c r="K523" s="156">
        <v>16.73</v>
      </c>
      <c r="L523" s="115" t="s">
        <v>2711</v>
      </c>
      <c r="M523" s="246">
        <v>43420</v>
      </c>
      <c r="N523" s="115" t="s">
        <v>56</v>
      </c>
      <c r="O523" s="181"/>
      <c r="P523" s="181"/>
      <c r="Q523" s="115">
        <v>22880.095636581</v>
      </c>
      <c r="R523" s="115">
        <v>382784</v>
      </c>
      <c r="S523" s="293">
        <v>382784</v>
      </c>
      <c r="T523" s="293"/>
      <c r="U523" s="293"/>
      <c r="V523" s="293"/>
      <c r="W523" s="293"/>
      <c r="X523" s="293"/>
      <c r="Y523" s="181"/>
      <c r="Z523" s="181"/>
      <c r="AA523" s="245"/>
      <c r="AB523" s="181"/>
      <c r="AC523" s="239"/>
      <c r="AD523" s="239"/>
      <c r="AE523" s="133"/>
      <c r="AF523" s="115"/>
      <c r="AG523" s="133"/>
      <c r="AH523" s="133"/>
      <c r="AI523" s="132">
        <f t="shared" si="167"/>
        <v>382784</v>
      </c>
      <c r="AJ523" s="132">
        <f t="shared" si="168"/>
        <v>382784</v>
      </c>
      <c r="AK523" s="133">
        <f t="shared" si="169"/>
        <v>0</v>
      </c>
      <c r="AL523" s="132"/>
      <c r="AM523" s="133" t="s">
        <v>854</v>
      </c>
      <c r="AN523" s="246">
        <v>44843</v>
      </c>
      <c r="AO523" s="100"/>
      <c r="AP523" s="96"/>
      <c r="AQ523" s="96"/>
      <c r="AR523" s="96"/>
      <c r="AS523" s="96"/>
      <c r="AT523" s="96"/>
      <c r="AU523" s="96"/>
      <c r="AV523" s="96"/>
      <c r="AW523" s="96"/>
      <c r="AX523" s="96"/>
      <c r="AY523" s="96"/>
      <c r="AZ523" s="96"/>
      <c r="BA523" s="96"/>
      <c r="BB523" s="96"/>
      <c r="BC523" s="96"/>
      <c r="BD523" s="96"/>
      <c r="BE523" s="96"/>
    </row>
    <row r="524" s="97" customFormat="1" customHeight="1" spans="1:58">
      <c r="A524" s="115" t="s">
        <v>5745</v>
      </c>
      <c r="B524" s="115" t="s">
        <v>5746</v>
      </c>
      <c r="C524" s="155" t="s">
        <v>5747</v>
      </c>
      <c r="D524" s="291"/>
      <c r="E524" s="156">
        <v>13938232282</v>
      </c>
      <c r="F524" s="115">
        <v>3</v>
      </c>
      <c r="G524" s="115">
        <v>3194</v>
      </c>
      <c r="H524" s="156">
        <v>16.18</v>
      </c>
      <c r="I524" s="115" t="s">
        <v>2657</v>
      </c>
      <c r="J524" s="181" t="s">
        <v>5748</v>
      </c>
      <c r="K524" s="156">
        <v>19.42</v>
      </c>
      <c r="L524" s="115" t="s">
        <v>3179</v>
      </c>
      <c r="M524" s="246" t="s">
        <v>3842</v>
      </c>
      <c r="N524" s="115" t="s">
        <v>66</v>
      </c>
      <c r="O524" s="181"/>
      <c r="P524" s="181"/>
      <c r="Q524" s="115">
        <v>31119.21</v>
      </c>
      <c r="R524" s="115">
        <v>503509</v>
      </c>
      <c r="S524" s="293">
        <v>253509</v>
      </c>
      <c r="T524" s="293">
        <v>250000</v>
      </c>
      <c r="U524" s="293"/>
      <c r="V524" s="293">
        <v>1051</v>
      </c>
      <c r="W524" s="293">
        <v>550</v>
      </c>
      <c r="X524" s="293"/>
      <c r="Y524" s="181" t="s">
        <v>2669</v>
      </c>
      <c r="Z524" s="181"/>
      <c r="AA524" s="245"/>
      <c r="AB524" s="181"/>
      <c r="AC524" s="239">
        <v>1245</v>
      </c>
      <c r="AD524" s="239"/>
      <c r="AE524" s="239"/>
      <c r="AF524" s="115"/>
      <c r="AG524" s="133"/>
      <c r="AH524" s="133"/>
      <c r="AI524" s="132">
        <f t="shared" si="167"/>
        <v>256355</v>
      </c>
      <c r="AJ524" s="132">
        <f t="shared" si="168"/>
        <v>255110</v>
      </c>
      <c r="AK524" s="133">
        <f t="shared" si="169"/>
        <v>1245</v>
      </c>
      <c r="AL524" s="132"/>
      <c r="AM524" s="133" t="s">
        <v>854</v>
      </c>
      <c r="AN524" s="246">
        <v>44843</v>
      </c>
      <c r="AO524" s="259"/>
      <c r="AP524" s="259"/>
      <c r="AQ524" s="96"/>
      <c r="AR524" s="96"/>
      <c r="AS524" s="96"/>
      <c r="AT524" s="96"/>
      <c r="AU524" s="96"/>
      <c r="AV524" s="96"/>
      <c r="AW524" s="96"/>
      <c r="AX524" s="96"/>
      <c r="AY524" s="96"/>
      <c r="AZ524" s="96"/>
      <c r="BA524" s="96"/>
      <c r="BB524" s="96"/>
      <c r="BC524" s="96"/>
      <c r="BD524" s="96"/>
      <c r="BE524" s="96"/>
      <c r="BF524" s="96"/>
    </row>
    <row r="525" s="97" customFormat="1" customHeight="1" spans="1:41">
      <c r="A525" s="115" t="s">
        <v>5749</v>
      </c>
      <c r="B525" s="111" t="s">
        <v>5750</v>
      </c>
      <c r="C525" s="554" t="s">
        <v>5751</v>
      </c>
      <c r="D525" s="121" t="s">
        <v>5752</v>
      </c>
      <c r="E525" s="266">
        <v>15039109558</v>
      </c>
      <c r="F525" s="267">
        <v>1</v>
      </c>
      <c r="G525" s="268">
        <v>1166</v>
      </c>
      <c r="H525" s="268">
        <v>12.37</v>
      </c>
      <c r="I525" s="274" t="s">
        <v>2657</v>
      </c>
      <c r="J525" s="113" t="s">
        <v>5753</v>
      </c>
      <c r="K525" s="266">
        <v>12.87</v>
      </c>
      <c r="L525" s="266" t="s">
        <v>2807</v>
      </c>
      <c r="M525" s="275" t="s">
        <v>5754</v>
      </c>
      <c r="N525" s="113" t="s">
        <v>66</v>
      </c>
      <c r="O525" s="113"/>
      <c r="P525" s="113"/>
      <c r="Q525" s="113">
        <v>48562.55</v>
      </c>
      <c r="R525" s="113">
        <v>625000</v>
      </c>
      <c r="S525" s="280">
        <v>315000</v>
      </c>
      <c r="T525" s="281">
        <f t="shared" ref="T525:T531" si="170">R525-S525</f>
        <v>310000</v>
      </c>
      <c r="U525" s="280"/>
      <c r="V525" s="280"/>
      <c r="W525" s="280"/>
      <c r="X525" s="280"/>
      <c r="Y525" s="113"/>
      <c r="Z525" s="113"/>
      <c r="AA525" s="275"/>
      <c r="AB525" s="113"/>
      <c r="AC525" s="113"/>
      <c r="AD525" s="113"/>
      <c r="AE525" s="133"/>
      <c r="AF525" s="115"/>
      <c r="AG525" s="133"/>
      <c r="AH525" s="133"/>
      <c r="AI525" s="132">
        <f t="shared" ref="AI525:AI536" si="171">S525+U525+V525+W525+X525+AC525+AD525+AE525</f>
        <v>315000</v>
      </c>
      <c r="AJ525" s="132">
        <f t="shared" ref="AJ525:AJ536" si="172">S525+U525+V525+W525+X525</f>
        <v>315000</v>
      </c>
      <c r="AK525" s="133">
        <f t="shared" ref="AK525:AK536" si="173">AI525-AJ525</f>
        <v>0</v>
      </c>
      <c r="AL525" s="132"/>
      <c r="AM525" s="133" t="s">
        <v>886</v>
      </c>
      <c r="AN525" s="246">
        <v>44843</v>
      </c>
      <c r="AO525" s="137"/>
    </row>
    <row r="526" s="97" customFormat="1" customHeight="1" spans="1:41">
      <c r="A526" s="115" t="s">
        <v>5755</v>
      </c>
      <c r="B526" s="111" t="s">
        <v>5756</v>
      </c>
      <c r="C526" s="111" t="s">
        <v>5757</v>
      </c>
      <c r="D526" s="121" t="s">
        <v>5758</v>
      </c>
      <c r="E526" s="266" t="s">
        <v>5759</v>
      </c>
      <c r="F526" s="267">
        <v>3</v>
      </c>
      <c r="G526" s="268">
        <v>3199</v>
      </c>
      <c r="H526" s="268">
        <v>18.75</v>
      </c>
      <c r="I526" s="274" t="s">
        <v>2665</v>
      </c>
      <c r="J526" s="113" t="s">
        <v>5760</v>
      </c>
      <c r="K526" s="266">
        <v>21.3</v>
      </c>
      <c r="L526" s="266" t="s">
        <v>5761</v>
      </c>
      <c r="M526" s="275" t="s">
        <v>3244</v>
      </c>
      <c r="N526" s="113" t="s">
        <v>66</v>
      </c>
      <c r="O526" s="113"/>
      <c r="P526" s="113"/>
      <c r="Q526" s="113">
        <v>31944.41</v>
      </c>
      <c r="R526" s="113">
        <v>680416</v>
      </c>
      <c r="S526" s="280">
        <v>340416</v>
      </c>
      <c r="T526" s="281">
        <f t="shared" si="170"/>
        <v>340000</v>
      </c>
      <c r="U526" s="280"/>
      <c r="V526" s="280"/>
      <c r="W526" s="280"/>
      <c r="X526" s="280"/>
      <c r="Y526" s="113"/>
      <c r="Z526" s="113"/>
      <c r="AA526" s="275"/>
      <c r="AB526" s="113"/>
      <c r="AC526" s="113"/>
      <c r="AD526" s="113"/>
      <c r="AE526" s="133"/>
      <c r="AF526" s="115"/>
      <c r="AG526" s="133"/>
      <c r="AH526" s="133"/>
      <c r="AI526" s="132">
        <f t="shared" si="171"/>
        <v>340416</v>
      </c>
      <c r="AJ526" s="132">
        <f t="shared" si="172"/>
        <v>340416</v>
      </c>
      <c r="AK526" s="133">
        <f t="shared" si="173"/>
        <v>0</v>
      </c>
      <c r="AL526" s="132"/>
      <c r="AM526" s="133" t="s">
        <v>886</v>
      </c>
      <c r="AN526" s="246">
        <v>44843</v>
      </c>
      <c r="AO526" s="137"/>
    </row>
    <row r="527" s="97" customFormat="1" customHeight="1" spans="1:41">
      <c r="A527" s="115" t="s">
        <v>5762</v>
      </c>
      <c r="B527" s="111" t="s">
        <v>5763</v>
      </c>
      <c r="C527" s="554" t="s">
        <v>5764</v>
      </c>
      <c r="D527" s="121" t="s">
        <v>5765</v>
      </c>
      <c r="E527" s="266">
        <v>17334888825</v>
      </c>
      <c r="F527" s="267">
        <v>1</v>
      </c>
      <c r="G527" s="268">
        <v>1262</v>
      </c>
      <c r="H527" s="268">
        <v>30.37</v>
      </c>
      <c r="I527" s="274" t="s">
        <v>2657</v>
      </c>
      <c r="J527" s="113" t="s">
        <v>5766</v>
      </c>
      <c r="K527" s="266">
        <v>14.38</v>
      </c>
      <c r="L527" s="266" t="s">
        <v>5505</v>
      </c>
      <c r="M527" s="275" t="s">
        <v>4356</v>
      </c>
      <c r="N527" s="113" t="s">
        <v>66</v>
      </c>
      <c r="O527" s="113"/>
      <c r="P527" s="113"/>
      <c r="Q527" s="113">
        <v>48048.05</v>
      </c>
      <c r="R527" s="113">
        <v>690931</v>
      </c>
      <c r="S527" s="280">
        <v>350931</v>
      </c>
      <c r="T527" s="281">
        <f t="shared" si="170"/>
        <v>340000</v>
      </c>
      <c r="U527" s="280"/>
      <c r="V527" s="280"/>
      <c r="W527" s="280"/>
      <c r="X527" s="280"/>
      <c r="Y527" s="113"/>
      <c r="Z527" s="113"/>
      <c r="AA527" s="275"/>
      <c r="AB527" s="113"/>
      <c r="AC527" s="113"/>
      <c r="AD527" s="113"/>
      <c r="AE527" s="133"/>
      <c r="AF527" s="115"/>
      <c r="AG527" s="133"/>
      <c r="AH527" s="133"/>
      <c r="AI527" s="132">
        <f t="shared" si="171"/>
        <v>350931</v>
      </c>
      <c r="AJ527" s="132">
        <f t="shared" si="172"/>
        <v>350931</v>
      </c>
      <c r="AK527" s="133">
        <f t="shared" si="173"/>
        <v>0</v>
      </c>
      <c r="AL527" s="132"/>
      <c r="AM527" s="133" t="s">
        <v>886</v>
      </c>
      <c r="AN527" s="246">
        <v>44843</v>
      </c>
      <c r="AO527" s="137"/>
    </row>
    <row r="528" s="97" customFormat="1" customHeight="1" spans="1:41">
      <c r="A528" s="115" t="s">
        <v>5767</v>
      </c>
      <c r="B528" s="111" t="s">
        <v>5768</v>
      </c>
      <c r="C528" s="554" t="s">
        <v>5769</v>
      </c>
      <c r="D528" s="121" t="s">
        <v>5770</v>
      </c>
      <c r="E528" s="266">
        <v>15993437834</v>
      </c>
      <c r="F528" s="267">
        <v>1</v>
      </c>
      <c r="G528" s="268">
        <v>1810</v>
      </c>
      <c r="H528" s="268">
        <v>16.07</v>
      </c>
      <c r="I528" s="274" t="s">
        <v>2657</v>
      </c>
      <c r="J528" s="113" t="s">
        <v>5771</v>
      </c>
      <c r="K528" s="266">
        <v>16.84</v>
      </c>
      <c r="L528" s="266" t="s">
        <v>4728</v>
      </c>
      <c r="M528" s="275" t="s">
        <v>5772</v>
      </c>
      <c r="N528" s="113" t="s">
        <v>66</v>
      </c>
      <c r="O528" s="113"/>
      <c r="P528" s="113"/>
      <c r="Q528" s="113">
        <v>46501.13</v>
      </c>
      <c r="R528" s="113">
        <v>783079</v>
      </c>
      <c r="S528" s="280">
        <v>393079</v>
      </c>
      <c r="T528" s="281">
        <f t="shared" si="170"/>
        <v>390000</v>
      </c>
      <c r="U528" s="280"/>
      <c r="V528" s="280"/>
      <c r="W528" s="280"/>
      <c r="X528" s="280"/>
      <c r="Y528" s="113"/>
      <c r="Z528" s="113"/>
      <c r="AA528" s="275"/>
      <c r="AB528" s="113"/>
      <c r="AC528" s="113"/>
      <c r="AD528" s="113"/>
      <c r="AE528" s="133"/>
      <c r="AF528" s="115"/>
      <c r="AG528" s="133"/>
      <c r="AH528" s="133"/>
      <c r="AI528" s="132">
        <f t="shared" si="171"/>
        <v>393079</v>
      </c>
      <c r="AJ528" s="132">
        <f t="shared" si="172"/>
        <v>393079</v>
      </c>
      <c r="AK528" s="133">
        <f t="shared" si="173"/>
        <v>0</v>
      </c>
      <c r="AL528" s="132" t="s">
        <v>5773</v>
      </c>
      <c r="AM528" s="133" t="s">
        <v>886</v>
      </c>
      <c r="AN528" s="246">
        <v>44843</v>
      </c>
      <c r="AO528" s="137"/>
    </row>
    <row r="529" s="97" customFormat="1" customHeight="1" spans="1:41">
      <c r="A529" s="115" t="s">
        <v>5774</v>
      </c>
      <c r="B529" s="111" t="s">
        <v>5775</v>
      </c>
      <c r="C529" s="554" t="s">
        <v>5776</v>
      </c>
      <c r="D529" s="121" t="s">
        <v>5777</v>
      </c>
      <c r="E529" s="266">
        <v>13781658258</v>
      </c>
      <c r="F529" s="267">
        <v>1</v>
      </c>
      <c r="G529" s="268">
        <v>1809</v>
      </c>
      <c r="H529" s="268">
        <v>16.07</v>
      </c>
      <c r="I529" s="274" t="s">
        <v>2657</v>
      </c>
      <c r="J529" s="113" t="s">
        <v>5778</v>
      </c>
      <c r="K529" s="266">
        <v>16.53</v>
      </c>
      <c r="L529" s="266" t="s">
        <v>4728</v>
      </c>
      <c r="M529" s="275" t="s">
        <v>5772</v>
      </c>
      <c r="N529" s="113" t="s">
        <v>66</v>
      </c>
      <c r="O529" s="113"/>
      <c r="P529" s="113"/>
      <c r="Q529" s="113">
        <v>46509.13</v>
      </c>
      <c r="R529" s="113">
        <v>768796</v>
      </c>
      <c r="S529" s="280">
        <v>388796</v>
      </c>
      <c r="T529" s="281">
        <f t="shared" si="170"/>
        <v>380000</v>
      </c>
      <c r="U529" s="280"/>
      <c r="V529" s="280"/>
      <c r="W529" s="280"/>
      <c r="X529" s="280"/>
      <c r="Y529" s="113"/>
      <c r="Z529" s="113"/>
      <c r="AA529" s="275"/>
      <c r="AB529" s="113"/>
      <c r="AC529" s="113"/>
      <c r="AD529" s="113"/>
      <c r="AE529" s="133"/>
      <c r="AF529" s="115"/>
      <c r="AG529" s="133"/>
      <c r="AH529" s="133"/>
      <c r="AI529" s="132">
        <f t="shared" si="171"/>
        <v>388796</v>
      </c>
      <c r="AJ529" s="132">
        <f t="shared" si="172"/>
        <v>388796</v>
      </c>
      <c r="AK529" s="133">
        <f t="shared" si="173"/>
        <v>0</v>
      </c>
      <c r="AL529" s="132" t="s">
        <v>5779</v>
      </c>
      <c r="AM529" s="133" t="s">
        <v>886</v>
      </c>
      <c r="AN529" s="246">
        <v>44843</v>
      </c>
      <c r="AO529" s="137"/>
    </row>
    <row r="530" s="97" customFormat="1" customHeight="1" spans="1:41">
      <c r="A530" s="115" t="s">
        <v>5780</v>
      </c>
      <c r="B530" s="111" t="s">
        <v>5781</v>
      </c>
      <c r="C530" s="111" t="s">
        <v>5782</v>
      </c>
      <c r="D530" s="121" t="s">
        <v>5765</v>
      </c>
      <c r="E530" s="266">
        <v>15537379782</v>
      </c>
      <c r="F530" s="267">
        <v>3</v>
      </c>
      <c r="G530" s="268">
        <v>3308</v>
      </c>
      <c r="H530" s="268">
        <v>20.19</v>
      </c>
      <c r="I530" s="274" t="s">
        <v>2657</v>
      </c>
      <c r="J530" s="113" t="s">
        <v>5783</v>
      </c>
      <c r="K530" s="266">
        <v>20.06</v>
      </c>
      <c r="L530" s="266" t="s">
        <v>5505</v>
      </c>
      <c r="M530" s="275" t="s">
        <v>5784</v>
      </c>
      <c r="N530" s="113" t="s">
        <v>66</v>
      </c>
      <c r="O530" s="113"/>
      <c r="P530" s="113"/>
      <c r="Q530" s="113">
        <v>31574.33</v>
      </c>
      <c r="R530" s="113">
        <v>633381</v>
      </c>
      <c r="S530" s="280">
        <v>323381</v>
      </c>
      <c r="T530" s="281">
        <f t="shared" si="170"/>
        <v>310000</v>
      </c>
      <c r="U530" s="280"/>
      <c r="V530" s="280"/>
      <c r="W530" s="280"/>
      <c r="X530" s="280"/>
      <c r="Y530" s="113"/>
      <c r="Z530" s="113"/>
      <c r="AA530" s="275"/>
      <c r="AB530" s="113"/>
      <c r="AC530" s="113"/>
      <c r="AD530" s="113"/>
      <c r="AE530" s="133"/>
      <c r="AF530" s="115"/>
      <c r="AG530" s="133"/>
      <c r="AH530" s="133"/>
      <c r="AI530" s="132">
        <f t="shared" si="171"/>
        <v>323381</v>
      </c>
      <c r="AJ530" s="132">
        <f t="shared" si="172"/>
        <v>323381</v>
      </c>
      <c r="AK530" s="133">
        <f t="shared" si="173"/>
        <v>0</v>
      </c>
      <c r="AL530" s="132"/>
      <c r="AM530" s="133" t="s">
        <v>886</v>
      </c>
      <c r="AN530" s="246">
        <v>44843</v>
      </c>
      <c r="AO530" s="137"/>
    </row>
    <row r="531" s="97" customFormat="1" customHeight="1" spans="1:41">
      <c r="A531" s="115" t="s">
        <v>5785</v>
      </c>
      <c r="B531" s="111" t="s">
        <v>5786</v>
      </c>
      <c r="C531" s="111" t="s">
        <v>5787</v>
      </c>
      <c r="D531" s="121" t="s">
        <v>5788</v>
      </c>
      <c r="E531" s="266" t="s">
        <v>5789</v>
      </c>
      <c r="F531" s="267">
        <v>3</v>
      </c>
      <c r="G531" s="268">
        <v>3859</v>
      </c>
      <c r="H531" s="268">
        <v>15.35</v>
      </c>
      <c r="I531" s="274" t="s">
        <v>2657</v>
      </c>
      <c r="J531" s="113" t="s">
        <v>5790</v>
      </c>
      <c r="K531" s="266">
        <v>12.87</v>
      </c>
      <c r="L531" s="266" t="s">
        <v>2875</v>
      </c>
      <c r="M531" s="275" t="s">
        <v>4932</v>
      </c>
      <c r="N531" s="113" t="s">
        <v>66</v>
      </c>
      <c r="O531" s="113"/>
      <c r="P531" s="113"/>
      <c r="Q531" s="113">
        <v>32860.45</v>
      </c>
      <c r="R531" s="113">
        <v>422914</v>
      </c>
      <c r="S531" s="280">
        <v>212914</v>
      </c>
      <c r="T531" s="281">
        <f t="shared" si="170"/>
        <v>210000</v>
      </c>
      <c r="U531" s="280"/>
      <c r="V531" s="280"/>
      <c r="W531" s="280"/>
      <c r="X531" s="280"/>
      <c r="Y531" s="113"/>
      <c r="Z531" s="113"/>
      <c r="AA531" s="275"/>
      <c r="AB531" s="113"/>
      <c r="AC531" s="113"/>
      <c r="AD531" s="113"/>
      <c r="AE531" s="133"/>
      <c r="AF531" s="115"/>
      <c r="AG531" s="133"/>
      <c r="AH531" s="133"/>
      <c r="AI531" s="132">
        <f t="shared" si="171"/>
        <v>212914</v>
      </c>
      <c r="AJ531" s="132">
        <f t="shared" si="172"/>
        <v>212914</v>
      </c>
      <c r="AK531" s="133">
        <f t="shared" si="173"/>
        <v>0</v>
      </c>
      <c r="AL531" s="132"/>
      <c r="AM531" s="133" t="s">
        <v>886</v>
      </c>
      <c r="AN531" s="246">
        <v>44843</v>
      </c>
      <c r="AO531" s="137"/>
    </row>
    <row r="532" s="97" customFormat="1" customHeight="1" spans="1:41">
      <c r="A532" s="115" t="s">
        <v>5791</v>
      </c>
      <c r="B532" s="111" t="s">
        <v>5792</v>
      </c>
      <c r="C532" s="554" t="s">
        <v>5793</v>
      </c>
      <c r="D532" s="121" t="s">
        <v>5794</v>
      </c>
      <c r="E532" s="266">
        <v>15538157175</v>
      </c>
      <c r="F532" s="267">
        <v>4</v>
      </c>
      <c r="G532" s="268">
        <v>4513</v>
      </c>
      <c r="H532" s="268">
        <v>9.27</v>
      </c>
      <c r="I532" s="274" t="s">
        <v>2657</v>
      </c>
      <c r="J532" s="113" t="s">
        <v>5795</v>
      </c>
      <c r="K532" s="266">
        <v>11.27</v>
      </c>
      <c r="L532" s="266" t="s">
        <v>2739</v>
      </c>
      <c r="M532" s="275" t="s">
        <v>2763</v>
      </c>
      <c r="N532" s="113" t="s">
        <v>66</v>
      </c>
      <c r="O532" s="113"/>
      <c r="P532" s="113"/>
      <c r="Q532" s="113">
        <v>27329.19</v>
      </c>
      <c r="R532" s="113">
        <v>253342</v>
      </c>
      <c r="S532" s="280">
        <v>163342</v>
      </c>
      <c r="T532" s="281"/>
      <c r="U532" s="280">
        <v>90000</v>
      </c>
      <c r="V532" s="280">
        <v>602</v>
      </c>
      <c r="W532" s="280">
        <v>550</v>
      </c>
      <c r="X532" s="280"/>
      <c r="Y532" s="113" t="s">
        <v>2669</v>
      </c>
      <c r="Z532" s="113" t="s">
        <v>48</v>
      </c>
      <c r="AA532" s="275">
        <v>44021</v>
      </c>
      <c r="AB532" s="113"/>
      <c r="AC532" s="113"/>
      <c r="AD532" s="113"/>
      <c r="AE532" s="133"/>
      <c r="AF532" s="115"/>
      <c r="AG532" s="133"/>
      <c r="AH532" s="133"/>
      <c r="AI532" s="132">
        <f t="shared" si="171"/>
        <v>254494</v>
      </c>
      <c r="AJ532" s="132">
        <f t="shared" si="172"/>
        <v>254494</v>
      </c>
      <c r="AK532" s="133">
        <f t="shared" si="173"/>
        <v>0</v>
      </c>
      <c r="AL532" s="132"/>
      <c r="AM532" s="133" t="s">
        <v>886</v>
      </c>
      <c r="AN532" s="246">
        <v>44843</v>
      </c>
      <c r="AO532" s="137"/>
    </row>
    <row r="533" s="97" customFormat="1" customHeight="1" spans="1:41">
      <c r="A533" s="115" t="s">
        <v>5796</v>
      </c>
      <c r="B533" s="111" t="s">
        <v>5797</v>
      </c>
      <c r="C533" s="111" t="s">
        <v>5798</v>
      </c>
      <c r="D533" s="121" t="s">
        <v>5799</v>
      </c>
      <c r="E533" s="266" t="s">
        <v>5800</v>
      </c>
      <c r="F533" s="267">
        <v>3</v>
      </c>
      <c r="G533" s="268">
        <v>3530</v>
      </c>
      <c r="H533" s="268">
        <v>19.96</v>
      </c>
      <c r="I533" s="274" t="s">
        <v>2657</v>
      </c>
      <c r="J533" s="113" t="s">
        <v>5801</v>
      </c>
      <c r="K533" s="266">
        <v>17.91</v>
      </c>
      <c r="L533" s="266" t="s">
        <v>2675</v>
      </c>
      <c r="M533" s="275" t="s">
        <v>4728</v>
      </c>
      <c r="N533" s="113" t="s">
        <v>66</v>
      </c>
      <c r="O533" s="113"/>
      <c r="P533" s="113"/>
      <c r="Q533" s="113">
        <v>32241.21</v>
      </c>
      <c r="R533" s="113">
        <v>577440</v>
      </c>
      <c r="S533" s="280">
        <v>297440</v>
      </c>
      <c r="T533" s="281">
        <f>R533-S533</f>
        <v>280000</v>
      </c>
      <c r="U533" s="280"/>
      <c r="V533" s="280"/>
      <c r="W533" s="280"/>
      <c r="X533" s="280"/>
      <c r="Y533" s="113"/>
      <c r="Z533" s="113"/>
      <c r="AA533" s="275"/>
      <c r="AB533" s="113"/>
      <c r="AC533" s="113"/>
      <c r="AD533" s="113"/>
      <c r="AE533" s="133"/>
      <c r="AF533" s="115"/>
      <c r="AG533" s="133"/>
      <c r="AH533" s="133"/>
      <c r="AI533" s="132">
        <f t="shared" si="171"/>
        <v>297440</v>
      </c>
      <c r="AJ533" s="132">
        <f t="shared" si="172"/>
        <v>297440</v>
      </c>
      <c r="AK533" s="133">
        <f t="shared" si="173"/>
        <v>0</v>
      </c>
      <c r="AL533" s="132"/>
      <c r="AM533" s="133" t="s">
        <v>886</v>
      </c>
      <c r="AN533" s="246">
        <v>44843</v>
      </c>
      <c r="AO533" s="137"/>
    </row>
    <row r="534" s="97" customFormat="1" customHeight="1" spans="1:42">
      <c r="A534" s="115" t="s">
        <v>5802</v>
      </c>
      <c r="B534" s="111" t="s">
        <v>5803</v>
      </c>
      <c r="C534" s="554" t="s">
        <v>5804</v>
      </c>
      <c r="D534" s="121" t="s">
        <v>5805</v>
      </c>
      <c r="E534" s="266" t="s">
        <v>5806</v>
      </c>
      <c r="F534" s="267">
        <v>4</v>
      </c>
      <c r="G534" s="268">
        <v>4453</v>
      </c>
      <c r="H534" s="268">
        <v>8.52</v>
      </c>
      <c r="I534" s="274" t="s">
        <v>2657</v>
      </c>
      <c r="J534" s="113" t="s">
        <v>5807</v>
      </c>
      <c r="K534" s="266">
        <v>14.69</v>
      </c>
      <c r="L534" s="266" t="s">
        <v>2691</v>
      </c>
      <c r="M534" s="275" t="s">
        <v>2814</v>
      </c>
      <c r="N534" s="113" t="s">
        <v>66</v>
      </c>
      <c r="O534" s="113"/>
      <c r="P534" s="113"/>
      <c r="Q534" s="113">
        <v>27187.13</v>
      </c>
      <c r="R534" s="113">
        <v>231634</v>
      </c>
      <c r="S534" s="280">
        <v>211634</v>
      </c>
      <c r="T534" s="281">
        <f>R534-S534</f>
        <v>20000</v>
      </c>
      <c r="U534" s="280"/>
      <c r="V534" s="280">
        <v>553</v>
      </c>
      <c r="W534" s="280">
        <v>550</v>
      </c>
      <c r="X534" s="280"/>
      <c r="Y534" s="113" t="s">
        <v>2669</v>
      </c>
      <c r="Z534" s="113"/>
      <c r="AA534" s="275"/>
      <c r="AB534" s="113"/>
      <c r="AC534" s="113"/>
      <c r="AD534" s="113"/>
      <c r="AE534" s="113"/>
      <c r="AF534" s="115"/>
      <c r="AG534" s="133"/>
      <c r="AH534" s="133"/>
      <c r="AI534" s="132">
        <f t="shared" si="171"/>
        <v>212737</v>
      </c>
      <c r="AJ534" s="132">
        <f t="shared" si="172"/>
        <v>212737</v>
      </c>
      <c r="AK534" s="133">
        <f t="shared" si="173"/>
        <v>0</v>
      </c>
      <c r="AL534" s="132"/>
      <c r="AM534" s="133" t="s">
        <v>886</v>
      </c>
      <c r="AN534" s="246">
        <v>44843</v>
      </c>
      <c r="AO534" s="288"/>
      <c r="AP534" s="288"/>
    </row>
    <row r="535" s="97" customFormat="1" customHeight="1" spans="1:57">
      <c r="A535" s="115" t="s">
        <v>5808</v>
      </c>
      <c r="B535" s="115" t="s">
        <v>5809</v>
      </c>
      <c r="C535" s="155" t="s">
        <v>5810</v>
      </c>
      <c r="D535" s="291" t="s">
        <v>5811</v>
      </c>
      <c r="E535" s="156">
        <v>13526319967</v>
      </c>
      <c r="F535" s="115">
        <v>1</v>
      </c>
      <c r="G535" s="115">
        <v>1734</v>
      </c>
      <c r="H535" s="156">
        <v>18.85</v>
      </c>
      <c r="I535" s="115" t="s">
        <v>2657</v>
      </c>
      <c r="J535" s="181"/>
      <c r="K535" s="156">
        <v>19.55</v>
      </c>
      <c r="L535" s="115" t="s">
        <v>5812</v>
      </c>
      <c r="M535" s="246" t="s">
        <v>5813</v>
      </c>
      <c r="N535" s="115" t="s">
        <v>66</v>
      </c>
      <c r="O535" s="181"/>
      <c r="P535" s="181"/>
      <c r="Q535" s="115">
        <v>47745.36</v>
      </c>
      <c r="R535" s="115">
        <v>900000</v>
      </c>
      <c r="S535" s="293">
        <v>450000</v>
      </c>
      <c r="T535" s="293">
        <v>450000</v>
      </c>
      <c r="U535" s="293"/>
      <c r="V535" s="293"/>
      <c r="W535" s="293"/>
      <c r="X535" s="293"/>
      <c r="Y535" s="181"/>
      <c r="Z535" s="181"/>
      <c r="AA535" s="245"/>
      <c r="AB535" s="181"/>
      <c r="AC535" s="239"/>
      <c r="AD535" s="239"/>
      <c r="AE535" s="133"/>
      <c r="AF535" s="115"/>
      <c r="AG535" s="133"/>
      <c r="AH535" s="133"/>
      <c r="AI535" s="132">
        <f t="shared" si="171"/>
        <v>450000</v>
      </c>
      <c r="AJ535" s="132">
        <f t="shared" si="172"/>
        <v>450000</v>
      </c>
      <c r="AK535" s="133">
        <f t="shared" si="173"/>
        <v>0</v>
      </c>
      <c r="AL535" s="132"/>
      <c r="AM535" s="133" t="s">
        <v>854</v>
      </c>
      <c r="AN535" s="246">
        <v>44843</v>
      </c>
      <c r="AO535" s="100"/>
      <c r="AP535" s="96"/>
      <c r="AQ535" s="96"/>
      <c r="AR535" s="96"/>
      <c r="AS535" s="96"/>
      <c r="AT535" s="96"/>
      <c r="AU535" s="96"/>
      <c r="AV535" s="96"/>
      <c r="AW535" s="96"/>
      <c r="AX535" s="96"/>
      <c r="AY535" s="96"/>
      <c r="AZ535" s="96"/>
      <c r="BA535" s="96"/>
      <c r="BB535" s="96"/>
      <c r="BC535" s="96"/>
      <c r="BD535" s="96"/>
      <c r="BE535" s="96"/>
    </row>
    <row r="536" s="97" customFormat="1" customHeight="1" spans="1:57">
      <c r="A536" s="297" t="s">
        <v>5814</v>
      </c>
      <c r="B536" s="297" t="s">
        <v>5815</v>
      </c>
      <c r="C536" s="298" t="s">
        <v>5816</v>
      </c>
      <c r="D536" s="299" t="s">
        <v>5817</v>
      </c>
      <c r="E536" s="300">
        <v>18503865699</v>
      </c>
      <c r="F536" s="297">
        <v>3</v>
      </c>
      <c r="G536" s="297">
        <v>3268</v>
      </c>
      <c r="H536" s="300">
        <v>24.57</v>
      </c>
      <c r="I536" s="297" t="s">
        <v>2657</v>
      </c>
      <c r="J536" s="301" t="s">
        <v>5818</v>
      </c>
      <c r="K536" s="300">
        <v>22.11</v>
      </c>
      <c r="L536" s="297" t="s">
        <v>4670</v>
      </c>
      <c r="M536" s="302" t="s">
        <v>5819</v>
      </c>
      <c r="N536" s="297" t="s">
        <v>66</v>
      </c>
      <c r="O536" s="301"/>
      <c r="P536" s="301"/>
      <c r="Q536" s="297">
        <v>32275.49</v>
      </c>
      <c r="R536" s="297">
        <v>713611</v>
      </c>
      <c r="S536" s="303">
        <v>363611</v>
      </c>
      <c r="T536" s="303">
        <v>350000</v>
      </c>
      <c r="U536" s="303"/>
      <c r="V536" s="303"/>
      <c r="W536" s="303"/>
      <c r="X536" s="303"/>
      <c r="Y536" s="301"/>
      <c r="Z536" s="301"/>
      <c r="AA536" s="306"/>
      <c r="AB536" s="301"/>
      <c r="AC536" s="307"/>
      <c r="AD536" s="307"/>
      <c r="AE536" s="308"/>
      <c r="AF536" s="297"/>
      <c r="AG536" s="308"/>
      <c r="AH536" s="308"/>
      <c r="AI536" s="132">
        <f t="shared" si="171"/>
        <v>363611</v>
      </c>
      <c r="AJ536" s="132">
        <f t="shared" si="172"/>
        <v>363611</v>
      </c>
      <c r="AK536" s="133">
        <f t="shared" si="173"/>
        <v>0</v>
      </c>
      <c r="AL536" s="309"/>
      <c r="AM536" s="308" t="s">
        <v>854</v>
      </c>
      <c r="AN536" s="302">
        <v>44843</v>
      </c>
      <c r="AO536" s="100"/>
      <c r="AP536" s="96"/>
      <c r="AQ536" s="96"/>
      <c r="AR536" s="96"/>
      <c r="AS536" s="96"/>
      <c r="AT536" s="96"/>
      <c r="AU536" s="96"/>
      <c r="AV536" s="96"/>
      <c r="AW536" s="96"/>
      <c r="AX536" s="96"/>
      <c r="AY536" s="96"/>
      <c r="AZ536" s="96"/>
      <c r="BA536" s="96"/>
      <c r="BB536" s="96"/>
      <c r="BC536" s="96"/>
      <c r="BD536" s="96"/>
      <c r="BE536" s="96"/>
    </row>
    <row r="537" s="97" customFormat="1" customHeight="1" spans="1:57">
      <c r="A537" s="115" t="s">
        <v>5820</v>
      </c>
      <c r="B537" s="115" t="s">
        <v>5821</v>
      </c>
      <c r="C537" s="155" t="s">
        <v>5822</v>
      </c>
      <c r="D537" s="291" t="s">
        <v>5823</v>
      </c>
      <c r="E537" s="156">
        <v>13700849479</v>
      </c>
      <c r="F537" s="115">
        <v>4</v>
      </c>
      <c r="G537" s="115">
        <v>4237</v>
      </c>
      <c r="H537" s="156">
        <v>33.9</v>
      </c>
      <c r="I537" s="115" t="s">
        <v>2657</v>
      </c>
      <c r="J537" s="181" t="s">
        <v>5824</v>
      </c>
      <c r="K537" s="156">
        <v>28.7</v>
      </c>
      <c r="L537" s="115" t="s">
        <v>3425</v>
      </c>
      <c r="M537" s="246" t="s">
        <v>5825</v>
      </c>
      <c r="N537" s="115" t="s">
        <v>66</v>
      </c>
      <c r="O537" s="181"/>
      <c r="P537" s="181"/>
      <c r="Q537" s="115">
        <v>25783.97</v>
      </c>
      <c r="R537" s="115">
        <v>740000</v>
      </c>
      <c r="S537" s="293">
        <v>370000</v>
      </c>
      <c r="T537" s="293">
        <v>370000</v>
      </c>
      <c r="U537" s="293"/>
      <c r="V537" s="293"/>
      <c r="W537" s="293"/>
      <c r="X537" s="293"/>
      <c r="Y537" s="181"/>
      <c r="Z537" s="181"/>
      <c r="AA537" s="245"/>
      <c r="AB537" s="181" t="s">
        <v>4984</v>
      </c>
      <c r="AC537" s="239"/>
      <c r="AD537" s="239"/>
      <c r="AE537" s="133"/>
      <c r="AF537" s="115"/>
      <c r="AG537" s="133"/>
      <c r="AH537" s="133"/>
      <c r="AI537" s="132">
        <f t="shared" ref="AI537:AI547" si="174">S537+U537+V537+W537+X537+AC537+AD537+AE537</f>
        <v>370000</v>
      </c>
      <c r="AJ537" s="132">
        <f t="shared" ref="AJ537:AJ547" si="175">S537+U537+V537+W537+X537</f>
        <v>370000</v>
      </c>
      <c r="AK537" s="133">
        <f t="shared" ref="AK537:AK547" si="176">AI537-AJ537</f>
        <v>0</v>
      </c>
      <c r="AL537" s="132"/>
      <c r="AM537" s="133" t="s">
        <v>854</v>
      </c>
      <c r="AN537" s="246">
        <v>44843</v>
      </c>
      <c r="AO537" s="100"/>
      <c r="AP537" s="96"/>
      <c r="AQ537" s="96"/>
      <c r="AR537" s="96"/>
      <c r="AS537" s="96"/>
      <c r="AT537" s="96"/>
      <c r="AU537" s="96"/>
      <c r="AV537" s="96"/>
      <c r="AW537" s="96"/>
      <c r="AX537" s="96"/>
      <c r="AY537" s="96"/>
      <c r="AZ537" s="96"/>
      <c r="BA537" s="96"/>
      <c r="BB537" s="96"/>
      <c r="BC537" s="96"/>
      <c r="BD537" s="96"/>
      <c r="BE537" s="96"/>
    </row>
    <row r="538" s="97" customFormat="1" customHeight="1" spans="1:57">
      <c r="A538" s="115" t="s">
        <v>5826</v>
      </c>
      <c r="B538" s="115" t="s">
        <v>5827</v>
      </c>
      <c r="C538" s="155" t="s">
        <v>5828</v>
      </c>
      <c r="D538" s="291" t="s">
        <v>5829</v>
      </c>
      <c r="E538" s="156">
        <v>13703982700</v>
      </c>
      <c r="F538" s="115">
        <v>3</v>
      </c>
      <c r="G538" s="115">
        <v>3192</v>
      </c>
      <c r="H538" s="156">
        <v>22.23</v>
      </c>
      <c r="I538" s="115" t="s">
        <v>2657</v>
      </c>
      <c r="J538" s="181" t="s">
        <v>5830</v>
      </c>
      <c r="K538" s="156">
        <v>19.77</v>
      </c>
      <c r="L538" s="115" t="s">
        <v>5831</v>
      </c>
      <c r="M538" s="246">
        <v>43761</v>
      </c>
      <c r="N538" s="115" t="s">
        <v>66</v>
      </c>
      <c r="O538" s="181"/>
      <c r="P538" s="181"/>
      <c r="Q538" s="115">
        <v>31112.59</v>
      </c>
      <c r="R538" s="115">
        <v>615096</v>
      </c>
      <c r="S538" s="293">
        <v>315096</v>
      </c>
      <c r="T538" s="293">
        <v>300000</v>
      </c>
      <c r="U538" s="293"/>
      <c r="V538" s="293"/>
      <c r="W538" s="293"/>
      <c r="X538" s="293"/>
      <c r="Y538" s="181"/>
      <c r="Z538" s="181"/>
      <c r="AA538" s="245"/>
      <c r="AB538" s="181"/>
      <c r="AC538" s="239"/>
      <c r="AD538" s="239"/>
      <c r="AE538" s="133"/>
      <c r="AF538" s="115"/>
      <c r="AG538" s="133"/>
      <c r="AH538" s="133"/>
      <c r="AI538" s="132">
        <f t="shared" si="174"/>
        <v>315096</v>
      </c>
      <c r="AJ538" s="132">
        <f t="shared" si="175"/>
        <v>315096</v>
      </c>
      <c r="AK538" s="133">
        <f t="shared" si="176"/>
        <v>0</v>
      </c>
      <c r="AL538" s="132"/>
      <c r="AM538" s="133" t="s">
        <v>854</v>
      </c>
      <c r="AN538" s="246">
        <v>44843</v>
      </c>
      <c r="AO538" s="100"/>
      <c r="AP538" s="96"/>
      <c r="AQ538" s="96"/>
      <c r="AR538" s="96"/>
      <c r="AS538" s="96"/>
      <c r="AT538" s="96"/>
      <c r="AU538" s="96"/>
      <c r="AV538" s="96"/>
      <c r="AW538" s="96"/>
      <c r="AX538" s="96"/>
      <c r="AY538" s="96"/>
      <c r="AZ538" s="96"/>
      <c r="BA538" s="96"/>
      <c r="BB538" s="96"/>
      <c r="BC538" s="96"/>
      <c r="BD538" s="96"/>
      <c r="BE538" s="96"/>
    </row>
    <row r="539" s="97" customFormat="1" customHeight="1" spans="1:57">
      <c r="A539" s="115" t="s">
        <v>5832</v>
      </c>
      <c r="B539" s="115" t="s">
        <v>5827</v>
      </c>
      <c r="C539" s="155" t="s">
        <v>5828</v>
      </c>
      <c r="D539" s="291" t="s">
        <v>5829</v>
      </c>
      <c r="E539" s="156">
        <v>13703982700</v>
      </c>
      <c r="F539" s="115">
        <v>3</v>
      </c>
      <c r="G539" s="115">
        <v>3193</v>
      </c>
      <c r="H539" s="156">
        <v>19.37</v>
      </c>
      <c r="I539" s="115" t="s">
        <v>2657</v>
      </c>
      <c r="J539" s="181" t="s">
        <v>5833</v>
      </c>
      <c r="K539" s="156">
        <v>21.09</v>
      </c>
      <c r="L539" s="115" t="s">
        <v>5831</v>
      </c>
      <c r="M539" s="246">
        <v>43761</v>
      </c>
      <c r="N539" s="115" t="s">
        <v>66</v>
      </c>
      <c r="O539" s="181"/>
      <c r="P539" s="181"/>
      <c r="Q539" s="115">
        <v>31089.76</v>
      </c>
      <c r="R539" s="115">
        <v>655683</v>
      </c>
      <c r="S539" s="293">
        <v>335683</v>
      </c>
      <c r="T539" s="293">
        <v>320000</v>
      </c>
      <c r="U539" s="293"/>
      <c r="V539" s="293"/>
      <c r="W539" s="293"/>
      <c r="X539" s="293"/>
      <c r="Y539" s="181"/>
      <c r="Z539" s="181"/>
      <c r="AA539" s="245"/>
      <c r="AB539" s="181"/>
      <c r="AC539" s="239"/>
      <c r="AD539" s="239"/>
      <c r="AE539" s="133"/>
      <c r="AF539" s="115"/>
      <c r="AG539" s="133"/>
      <c r="AH539" s="133"/>
      <c r="AI539" s="132">
        <f t="shared" si="174"/>
        <v>335683</v>
      </c>
      <c r="AJ539" s="132">
        <f t="shared" si="175"/>
        <v>335683</v>
      </c>
      <c r="AK539" s="133">
        <f t="shared" si="176"/>
        <v>0</v>
      </c>
      <c r="AL539" s="132"/>
      <c r="AM539" s="133" t="s">
        <v>854</v>
      </c>
      <c r="AN539" s="246">
        <v>44843</v>
      </c>
      <c r="AO539" s="100"/>
      <c r="AP539" s="96"/>
      <c r="AQ539" s="96"/>
      <c r="AR539" s="96"/>
      <c r="AS539" s="96"/>
      <c r="AT539" s="96"/>
      <c r="AU539" s="96"/>
      <c r="AV539" s="96"/>
      <c r="AW539" s="96"/>
      <c r="AX539" s="96"/>
      <c r="AY539" s="96"/>
      <c r="AZ539" s="96"/>
      <c r="BA539" s="96"/>
      <c r="BB539" s="96"/>
      <c r="BC539" s="96"/>
      <c r="BD539" s="96"/>
      <c r="BE539" s="96"/>
    </row>
    <row r="540" s="97" customFormat="1" customHeight="1" spans="1:41">
      <c r="A540" s="115" t="s">
        <v>5834</v>
      </c>
      <c r="B540" s="115" t="s">
        <v>5835</v>
      </c>
      <c r="C540" s="555" t="s">
        <v>5836</v>
      </c>
      <c r="D540" s="291" t="s">
        <v>5837</v>
      </c>
      <c r="E540" s="156">
        <v>13623813056</v>
      </c>
      <c r="F540" s="115">
        <v>1</v>
      </c>
      <c r="G540" s="115">
        <v>1143</v>
      </c>
      <c r="H540" s="156">
        <v>51.82</v>
      </c>
      <c r="I540" s="115" t="s">
        <v>2665</v>
      </c>
      <c r="J540" s="181" t="s">
        <v>5838</v>
      </c>
      <c r="K540" s="156">
        <v>35.91</v>
      </c>
      <c r="L540" s="115" t="s">
        <v>5839</v>
      </c>
      <c r="M540" s="246" t="s">
        <v>5839</v>
      </c>
      <c r="N540" s="115" t="s">
        <v>66</v>
      </c>
      <c r="O540" s="181"/>
      <c r="P540" s="181"/>
      <c r="Q540" s="115">
        <v>56251.7404622668</v>
      </c>
      <c r="R540" s="115">
        <v>2020000</v>
      </c>
      <c r="S540" s="293">
        <v>1010000</v>
      </c>
      <c r="T540" s="293">
        <v>1010000</v>
      </c>
      <c r="U540" s="293"/>
      <c r="V540" s="293"/>
      <c r="W540" s="293"/>
      <c r="X540" s="293"/>
      <c r="Y540" s="181"/>
      <c r="Z540" s="181"/>
      <c r="AA540" s="245"/>
      <c r="AB540" s="181" t="s">
        <v>5840</v>
      </c>
      <c r="AC540" s="239"/>
      <c r="AD540" s="239"/>
      <c r="AE540" s="133"/>
      <c r="AF540" s="115"/>
      <c r="AG540" s="133"/>
      <c r="AH540" s="133"/>
      <c r="AI540" s="132">
        <f t="shared" si="174"/>
        <v>1010000</v>
      </c>
      <c r="AJ540" s="132">
        <f t="shared" si="175"/>
        <v>1010000</v>
      </c>
      <c r="AK540" s="133">
        <f t="shared" si="176"/>
        <v>0</v>
      </c>
      <c r="AL540" s="132"/>
      <c r="AM540" s="133" t="s">
        <v>854</v>
      </c>
      <c r="AN540" s="246">
        <v>44843</v>
      </c>
      <c r="AO540" s="137"/>
    </row>
    <row r="541" s="97" customFormat="1" customHeight="1" spans="1:41">
      <c r="A541" s="115" t="s">
        <v>5841</v>
      </c>
      <c r="B541" s="111" t="s">
        <v>5842</v>
      </c>
      <c r="C541" s="554" t="s">
        <v>5843</v>
      </c>
      <c r="D541" s="113" t="s">
        <v>5844</v>
      </c>
      <c r="E541" s="113">
        <v>15037175328</v>
      </c>
      <c r="F541" s="267">
        <v>4</v>
      </c>
      <c r="G541" s="268">
        <v>4410</v>
      </c>
      <c r="H541" s="274">
        <v>14.33</v>
      </c>
      <c r="I541" s="274" t="s">
        <v>2657</v>
      </c>
      <c r="J541" s="266" t="s">
        <v>5845</v>
      </c>
      <c r="K541" s="266">
        <v>13.22</v>
      </c>
      <c r="L541" s="266" t="s">
        <v>4422</v>
      </c>
      <c r="M541" s="266" t="s">
        <v>5198</v>
      </c>
      <c r="N541" s="113" t="s">
        <v>66</v>
      </c>
      <c r="O541" s="113"/>
      <c r="P541" s="113"/>
      <c r="Q541" s="113">
        <v>26176.76</v>
      </c>
      <c r="R541" s="113">
        <v>375113</v>
      </c>
      <c r="S541" s="121">
        <v>195113</v>
      </c>
      <c r="T541" s="292">
        <v>180000</v>
      </c>
      <c r="U541" s="113"/>
      <c r="V541" s="113">
        <v>931</v>
      </c>
      <c r="W541" s="113">
        <v>550</v>
      </c>
      <c r="X541" s="113"/>
      <c r="Y541" s="113" t="s">
        <v>2669</v>
      </c>
      <c r="Z541" s="113"/>
      <c r="AA541" s="113"/>
      <c r="AB541" s="113"/>
      <c r="AC541" s="113">
        <v>1238</v>
      </c>
      <c r="AD541" s="113"/>
      <c r="AE541" s="133"/>
      <c r="AF541" s="115"/>
      <c r="AG541" s="133"/>
      <c r="AH541" s="133"/>
      <c r="AI541" s="132">
        <f t="shared" si="174"/>
        <v>197832</v>
      </c>
      <c r="AJ541" s="132">
        <f t="shared" si="175"/>
        <v>196594</v>
      </c>
      <c r="AK541" s="133">
        <f t="shared" si="176"/>
        <v>1238</v>
      </c>
      <c r="AL541" s="132"/>
      <c r="AM541" s="133" t="s">
        <v>900</v>
      </c>
      <c r="AN541" s="246">
        <v>44843</v>
      </c>
      <c r="AO541" s="137"/>
    </row>
    <row r="542" s="97" customFormat="1" customHeight="1" spans="1:41">
      <c r="A542" s="115" t="s">
        <v>5846</v>
      </c>
      <c r="B542" s="111" t="s">
        <v>5847</v>
      </c>
      <c r="C542" s="554" t="s">
        <v>5848</v>
      </c>
      <c r="D542" s="121" t="s">
        <v>5849</v>
      </c>
      <c r="E542" s="557" t="s">
        <v>5850</v>
      </c>
      <c r="F542" s="267">
        <v>4</v>
      </c>
      <c r="G542" s="268">
        <v>4300</v>
      </c>
      <c r="H542" s="268">
        <v>14.97</v>
      </c>
      <c r="I542" s="274" t="s">
        <v>2657</v>
      </c>
      <c r="J542" s="113" t="s">
        <v>5851</v>
      </c>
      <c r="K542" s="266">
        <v>14.21</v>
      </c>
      <c r="L542" s="266" t="s">
        <v>3408</v>
      </c>
      <c r="M542" s="275" t="s">
        <v>2685</v>
      </c>
      <c r="N542" s="113" t="s">
        <v>66</v>
      </c>
      <c r="O542" s="113"/>
      <c r="P542" s="113"/>
      <c r="Q542" s="113">
        <v>25620.31</v>
      </c>
      <c r="R542" s="113">
        <v>383536</v>
      </c>
      <c r="S542" s="280">
        <v>193536</v>
      </c>
      <c r="T542" s="281">
        <v>190000</v>
      </c>
      <c r="U542" s="280"/>
      <c r="V542" s="280">
        <v>973</v>
      </c>
      <c r="W542" s="280">
        <v>550</v>
      </c>
      <c r="X542" s="280"/>
      <c r="Y542" s="113"/>
      <c r="Z542" s="113"/>
      <c r="AA542" s="275"/>
      <c r="AB542" s="113"/>
      <c r="AC542" s="113">
        <v>1239</v>
      </c>
      <c r="AD542" s="113"/>
      <c r="AE542" s="133"/>
      <c r="AF542" s="115"/>
      <c r="AG542" s="133"/>
      <c r="AH542" s="133"/>
      <c r="AI542" s="132">
        <f t="shared" si="174"/>
        <v>196298</v>
      </c>
      <c r="AJ542" s="132">
        <f t="shared" si="175"/>
        <v>195059</v>
      </c>
      <c r="AK542" s="133">
        <f t="shared" si="176"/>
        <v>1239</v>
      </c>
      <c r="AL542" s="132"/>
      <c r="AM542" s="133" t="s">
        <v>886</v>
      </c>
      <c r="AN542" s="246">
        <v>44843</v>
      </c>
      <c r="AO542" s="137"/>
    </row>
    <row r="543" s="97" customFormat="1" customHeight="1" spans="1:41">
      <c r="A543" s="115" t="s">
        <v>5852</v>
      </c>
      <c r="B543" s="111" t="s">
        <v>5847</v>
      </c>
      <c r="C543" s="554" t="s">
        <v>5848</v>
      </c>
      <c r="D543" s="121" t="s">
        <v>5849</v>
      </c>
      <c r="E543" s="557" t="s">
        <v>5850</v>
      </c>
      <c r="F543" s="267">
        <v>4</v>
      </c>
      <c r="G543" s="268">
        <v>4304</v>
      </c>
      <c r="H543" s="268">
        <v>14.49</v>
      </c>
      <c r="I543" s="274" t="s">
        <v>2657</v>
      </c>
      <c r="J543" s="113" t="s">
        <v>5853</v>
      </c>
      <c r="K543" s="266">
        <v>13.28</v>
      </c>
      <c r="L543" s="266" t="s">
        <v>3408</v>
      </c>
      <c r="M543" s="275" t="s">
        <v>2685</v>
      </c>
      <c r="N543" s="113" t="s">
        <v>66</v>
      </c>
      <c r="O543" s="113"/>
      <c r="P543" s="113"/>
      <c r="Q543" s="113">
        <v>25190.06</v>
      </c>
      <c r="R543" s="113">
        <v>365004</v>
      </c>
      <c r="S543" s="280">
        <v>185004</v>
      </c>
      <c r="T543" s="281">
        <v>180000</v>
      </c>
      <c r="U543" s="280"/>
      <c r="V543" s="280">
        <v>941</v>
      </c>
      <c r="W543" s="280">
        <v>550</v>
      </c>
      <c r="X543" s="280"/>
      <c r="Y543" s="113"/>
      <c r="Z543" s="113"/>
      <c r="AA543" s="275"/>
      <c r="AB543" s="113"/>
      <c r="AC543" s="113">
        <v>1238</v>
      </c>
      <c r="AD543" s="113"/>
      <c r="AE543" s="133"/>
      <c r="AF543" s="115"/>
      <c r="AG543" s="133"/>
      <c r="AH543" s="133"/>
      <c r="AI543" s="132">
        <f t="shared" si="174"/>
        <v>187733</v>
      </c>
      <c r="AJ543" s="132">
        <f t="shared" si="175"/>
        <v>186495</v>
      </c>
      <c r="AK543" s="133">
        <f t="shared" si="176"/>
        <v>1238</v>
      </c>
      <c r="AL543" s="132"/>
      <c r="AM543" s="133" t="s">
        <v>886</v>
      </c>
      <c r="AN543" s="246">
        <v>44843</v>
      </c>
      <c r="AO543" s="137"/>
    </row>
    <row r="544" s="97" customFormat="1" customHeight="1" spans="1:41">
      <c r="A544" s="115" t="s">
        <v>5854</v>
      </c>
      <c r="B544" s="111" t="s">
        <v>5847</v>
      </c>
      <c r="C544" s="554" t="s">
        <v>5848</v>
      </c>
      <c r="D544" s="121" t="s">
        <v>5849</v>
      </c>
      <c r="E544" s="557" t="s">
        <v>5850</v>
      </c>
      <c r="F544" s="267">
        <v>4</v>
      </c>
      <c r="G544" s="268">
        <v>4301</v>
      </c>
      <c r="H544" s="268">
        <v>14.97</v>
      </c>
      <c r="I544" s="274" t="s">
        <v>2657</v>
      </c>
      <c r="J544" s="113" t="s">
        <v>5855</v>
      </c>
      <c r="K544" s="266">
        <v>13.58</v>
      </c>
      <c r="L544" s="266" t="s">
        <v>3408</v>
      </c>
      <c r="M544" s="275" t="s">
        <v>2685</v>
      </c>
      <c r="N544" s="113" t="s">
        <v>66</v>
      </c>
      <c r="O544" s="113"/>
      <c r="P544" s="113"/>
      <c r="Q544" s="113">
        <v>25067.2</v>
      </c>
      <c r="R544" s="113">
        <v>375256</v>
      </c>
      <c r="S544" s="280">
        <v>195256</v>
      </c>
      <c r="T544" s="281">
        <v>180000</v>
      </c>
      <c r="U544" s="280"/>
      <c r="V544" s="280">
        <v>973</v>
      </c>
      <c r="W544" s="280">
        <v>550</v>
      </c>
      <c r="X544" s="280"/>
      <c r="Y544" s="113"/>
      <c r="Z544" s="113"/>
      <c r="AA544" s="275"/>
      <c r="AB544" s="113"/>
      <c r="AC544" s="113">
        <v>1238</v>
      </c>
      <c r="AD544" s="113"/>
      <c r="AE544" s="133"/>
      <c r="AF544" s="115"/>
      <c r="AG544" s="133"/>
      <c r="AH544" s="133"/>
      <c r="AI544" s="132">
        <f t="shared" si="174"/>
        <v>198017</v>
      </c>
      <c r="AJ544" s="132">
        <f t="shared" si="175"/>
        <v>196779</v>
      </c>
      <c r="AK544" s="133">
        <f t="shared" si="176"/>
        <v>1238</v>
      </c>
      <c r="AL544" s="132"/>
      <c r="AM544" s="133" t="s">
        <v>886</v>
      </c>
      <c r="AN544" s="246">
        <v>44843</v>
      </c>
      <c r="AO544" s="137"/>
    </row>
    <row r="545" s="97" customFormat="1" customHeight="1" spans="1:41">
      <c r="A545" s="115" t="s">
        <v>5856</v>
      </c>
      <c r="B545" s="111" t="s">
        <v>5857</v>
      </c>
      <c r="C545" s="111" t="s">
        <v>5858</v>
      </c>
      <c r="D545" s="121" t="s">
        <v>5859</v>
      </c>
      <c r="E545" s="266">
        <v>13938548567</v>
      </c>
      <c r="F545" s="267">
        <v>3</v>
      </c>
      <c r="G545" s="268">
        <v>3616</v>
      </c>
      <c r="H545" s="268">
        <v>20.12</v>
      </c>
      <c r="I545" s="274" t="s">
        <v>2657</v>
      </c>
      <c r="J545" s="113" t="s">
        <v>5860</v>
      </c>
      <c r="K545" s="266">
        <v>19.98</v>
      </c>
      <c r="L545" s="266" t="s">
        <v>2961</v>
      </c>
      <c r="M545" s="275" t="s">
        <v>2691</v>
      </c>
      <c r="N545" s="113" t="s">
        <v>56</v>
      </c>
      <c r="O545" s="113"/>
      <c r="P545" s="113"/>
      <c r="Q545" s="113">
        <v>30209.36</v>
      </c>
      <c r="R545" s="113">
        <v>603583</v>
      </c>
      <c r="S545" s="280">
        <v>603583</v>
      </c>
      <c r="T545" s="281">
        <f>R545-S545</f>
        <v>0</v>
      </c>
      <c r="U545" s="280"/>
      <c r="V545" s="280"/>
      <c r="W545" s="280"/>
      <c r="X545" s="280"/>
      <c r="Y545" s="113"/>
      <c r="Z545" s="113"/>
      <c r="AA545" s="275"/>
      <c r="AB545" s="113" t="s">
        <v>5861</v>
      </c>
      <c r="AC545" s="113"/>
      <c r="AD545" s="113"/>
      <c r="AE545" s="133"/>
      <c r="AF545" s="115"/>
      <c r="AG545" s="133"/>
      <c r="AH545" s="133"/>
      <c r="AI545" s="132">
        <f t="shared" si="174"/>
        <v>603583</v>
      </c>
      <c r="AJ545" s="132">
        <f t="shared" si="175"/>
        <v>603583</v>
      </c>
      <c r="AK545" s="133">
        <f t="shared" si="176"/>
        <v>0</v>
      </c>
      <c r="AL545" s="132"/>
      <c r="AM545" s="133" t="s">
        <v>886</v>
      </c>
      <c r="AN545" s="246">
        <v>44843</v>
      </c>
      <c r="AO545" s="137"/>
    </row>
    <row r="546" customHeight="1" spans="1:40">
      <c r="A546" s="115" t="s">
        <v>5862</v>
      </c>
      <c r="B546" s="111" t="s">
        <v>5863</v>
      </c>
      <c r="C546" s="554" t="s">
        <v>5864</v>
      </c>
      <c r="D546" s="113" t="s">
        <v>5865</v>
      </c>
      <c r="E546" s="113">
        <v>15539280936</v>
      </c>
      <c r="F546" s="267">
        <v>1</v>
      </c>
      <c r="G546" s="268">
        <v>1633</v>
      </c>
      <c r="H546" s="274">
        <v>18.51</v>
      </c>
      <c r="I546" s="274" t="s">
        <v>2657</v>
      </c>
      <c r="J546" s="113" t="s">
        <v>5866</v>
      </c>
      <c r="K546" s="116">
        <v>18.57</v>
      </c>
      <c r="L546" s="266" t="s">
        <v>5754</v>
      </c>
      <c r="M546" s="266" t="s">
        <v>2868</v>
      </c>
      <c r="N546" s="113" t="s">
        <v>66</v>
      </c>
      <c r="O546" s="113"/>
      <c r="P546" s="113"/>
      <c r="Q546" s="113">
        <v>47388.26</v>
      </c>
      <c r="R546" s="113">
        <v>880000</v>
      </c>
      <c r="S546" s="121">
        <v>440000</v>
      </c>
      <c r="T546" s="292">
        <v>440000</v>
      </c>
      <c r="U546" s="113"/>
      <c r="V546" s="113"/>
      <c r="W546" s="113"/>
      <c r="X546" s="113"/>
      <c r="Y546" s="113"/>
      <c r="Z546" s="113"/>
      <c r="AA546" s="113"/>
      <c r="AB546" s="113"/>
      <c r="AC546" s="113"/>
      <c r="AD546" s="113"/>
      <c r="AE546" s="133"/>
      <c r="AF546" s="115"/>
      <c r="AG546" s="133"/>
      <c r="AH546" s="133"/>
      <c r="AI546" s="132">
        <f t="shared" si="174"/>
        <v>440000</v>
      </c>
      <c r="AJ546" s="132">
        <f t="shared" si="175"/>
        <v>440000</v>
      </c>
      <c r="AK546" s="133">
        <f t="shared" si="176"/>
        <v>0</v>
      </c>
      <c r="AL546" s="132"/>
      <c r="AM546" s="133" t="s">
        <v>900</v>
      </c>
      <c r="AN546" s="246">
        <v>44843</v>
      </c>
    </row>
    <row r="547" customHeight="1" spans="1:40">
      <c r="A547" s="115" t="s">
        <v>5867</v>
      </c>
      <c r="B547" s="115" t="s">
        <v>5868</v>
      </c>
      <c r="C547" s="155" t="s">
        <v>5869</v>
      </c>
      <c r="D547" s="291" t="s">
        <v>5870</v>
      </c>
      <c r="E547" s="156">
        <v>13203857788</v>
      </c>
      <c r="F547" s="115">
        <v>3</v>
      </c>
      <c r="G547" s="115">
        <v>391</v>
      </c>
      <c r="H547" s="156">
        <v>21.53</v>
      </c>
      <c r="I547" s="115" t="s">
        <v>2657</v>
      </c>
      <c r="J547" s="181" t="s">
        <v>5871</v>
      </c>
      <c r="K547" s="156">
        <v>21.55</v>
      </c>
      <c r="L547" s="115" t="s">
        <v>3522</v>
      </c>
      <c r="M547" s="246" t="s">
        <v>4328</v>
      </c>
      <c r="N547" s="115" t="s">
        <v>66</v>
      </c>
      <c r="O547" s="181"/>
      <c r="P547" s="181"/>
      <c r="Q547" s="115">
        <v>31306.13</v>
      </c>
      <c r="R547" s="115">
        <v>674021</v>
      </c>
      <c r="S547" s="293">
        <v>354021</v>
      </c>
      <c r="T547" s="293"/>
      <c r="U547" s="293">
        <v>320000</v>
      </c>
      <c r="V547" s="293">
        <v>1399</v>
      </c>
      <c r="W547" s="293">
        <v>550</v>
      </c>
      <c r="X547" s="293"/>
      <c r="Y547" s="181" t="s">
        <v>2669</v>
      </c>
      <c r="Z547" s="181" t="s">
        <v>48</v>
      </c>
      <c r="AA547" s="245">
        <v>44024</v>
      </c>
      <c r="AB547" s="181"/>
      <c r="AC547" s="239">
        <f>1000+32+220</f>
        <v>1252</v>
      </c>
      <c r="AD547" s="239"/>
      <c r="AE547" s="133"/>
      <c r="AF547" s="115"/>
      <c r="AG547" s="133"/>
      <c r="AH547" s="133"/>
      <c r="AI547" s="132">
        <f t="shared" si="174"/>
        <v>677222</v>
      </c>
      <c r="AJ547" s="132">
        <f t="shared" si="175"/>
        <v>675970</v>
      </c>
      <c r="AK547" s="133">
        <f t="shared" si="176"/>
        <v>1252</v>
      </c>
      <c r="AL547" s="132"/>
      <c r="AM547" s="133" t="s">
        <v>854</v>
      </c>
      <c r="AN547" s="246">
        <v>44844</v>
      </c>
    </row>
    <row r="548" customHeight="1" spans="1:40">
      <c r="A548" s="115" t="s">
        <v>5872</v>
      </c>
      <c r="B548" s="115" t="s">
        <v>5873</v>
      </c>
      <c r="C548" s="155"/>
      <c r="D548" s="291"/>
      <c r="E548" s="156" t="s">
        <v>5874</v>
      </c>
      <c r="F548" s="115">
        <v>3</v>
      </c>
      <c r="G548" s="115"/>
      <c r="H548" s="156" t="s">
        <v>5875</v>
      </c>
      <c r="I548" s="115"/>
      <c r="J548" s="181" t="s">
        <v>5876</v>
      </c>
      <c r="K548" s="156"/>
      <c r="L548" s="115"/>
      <c r="M548" s="246">
        <v>43589</v>
      </c>
      <c r="N548" s="115"/>
      <c r="O548" s="181"/>
      <c r="P548" s="181"/>
      <c r="Q548" s="115"/>
      <c r="R548" s="115"/>
      <c r="S548" s="293">
        <v>20000</v>
      </c>
      <c r="T548" s="293"/>
      <c r="U548" s="293"/>
      <c r="V548" s="293"/>
      <c r="W548" s="293"/>
      <c r="X548" s="293"/>
      <c r="Y548" s="181"/>
      <c r="Z548" s="181"/>
      <c r="AA548" s="245"/>
      <c r="AB548" s="181"/>
      <c r="AC548" s="239"/>
      <c r="AD548" s="239"/>
      <c r="AE548" s="133"/>
      <c r="AF548" s="115"/>
      <c r="AG548" s="133"/>
      <c r="AH548" s="133"/>
      <c r="AI548" s="132">
        <f t="shared" ref="AI548:AI560" si="177">S548+U548+V548+W548+X548+AC548+AD548+AE548</f>
        <v>20000</v>
      </c>
      <c r="AJ548" s="132">
        <f t="shared" ref="AJ548:AJ560" si="178">S548+U548+V548+W548+X548</f>
        <v>20000</v>
      </c>
      <c r="AK548" s="133">
        <f t="shared" ref="AK548:AK560" si="179">AI548-AJ548</f>
        <v>0</v>
      </c>
      <c r="AL548" s="132" t="s">
        <v>5877</v>
      </c>
      <c r="AM548" s="133" t="s">
        <v>854</v>
      </c>
      <c r="AN548" s="246">
        <v>44844</v>
      </c>
    </row>
    <row r="549" customHeight="1" spans="1:40">
      <c r="A549" s="115" t="s">
        <v>5878</v>
      </c>
      <c r="B549" s="115" t="s">
        <v>5879</v>
      </c>
      <c r="C549" s="555" t="s">
        <v>5880</v>
      </c>
      <c r="D549" s="291" t="s">
        <v>5881</v>
      </c>
      <c r="E549" s="156">
        <v>13290909627</v>
      </c>
      <c r="F549" s="115">
        <v>3</v>
      </c>
      <c r="G549" s="115">
        <v>335</v>
      </c>
      <c r="H549" s="156">
        <v>22.36</v>
      </c>
      <c r="I549" s="115" t="s">
        <v>2665</v>
      </c>
      <c r="J549" s="181" t="s">
        <v>5882</v>
      </c>
      <c r="K549" s="156">
        <v>22.98</v>
      </c>
      <c r="L549" s="115" t="s">
        <v>2711</v>
      </c>
      <c r="M549" s="246" t="s">
        <v>4691</v>
      </c>
      <c r="N549" s="115" t="s">
        <v>66</v>
      </c>
      <c r="O549" s="181"/>
      <c r="P549" s="181"/>
      <c r="Q549" s="115">
        <v>22882.5935596171</v>
      </c>
      <c r="R549" s="115">
        <v>511655</v>
      </c>
      <c r="S549" s="293">
        <v>271655</v>
      </c>
      <c r="T549" s="293">
        <v>240000</v>
      </c>
      <c r="U549" s="293"/>
      <c r="V549" s="293">
        <v>1453</v>
      </c>
      <c r="W549" s="293">
        <v>550</v>
      </c>
      <c r="X549" s="293"/>
      <c r="Y549" s="181" t="s">
        <v>2669</v>
      </c>
      <c r="Z549" s="181"/>
      <c r="AA549" s="245"/>
      <c r="AB549" s="181"/>
      <c r="AC549" s="239">
        <v>1444.7</v>
      </c>
      <c r="AD549" s="239"/>
      <c r="AE549" s="133"/>
      <c r="AF549" s="115"/>
      <c r="AG549" s="133"/>
      <c r="AH549" s="133"/>
      <c r="AI549" s="132">
        <f t="shared" si="177"/>
        <v>275102.7</v>
      </c>
      <c r="AJ549" s="132">
        <f t="shared" si="178"/>
        <v>273658</v>
      </c>
      <c r="AK549" s="133">
        <f t="shared" si="179"/>
        <v>1444.70000000001</v>
      </c>
      <c r="AL549" s="132"/>
      <c r="AM549" s="133" t="s">
        <v>854</v>
      </c>
      <c r="AN549" s="246">
        <v>44844</v>
      </c>
    </row>
    <row r="550" customHeight="1" spans="1:40">
      <c r="A550" s="115" t="s">
        <v>5883</v>
      </c>
      <c r="B550" s="115" t="s">
        <v>5884</v>
      </c>
      <c r="C550" s="555" t="s">
        <v>5885</v>
      </c>
      <c r="D550" s="291" t="s">
        <v>5886</v>
      </c>
      <c r="E550" s="156">
        <v>15093257670</v>
      </c>
      <c r="F550" s="115">
        <v>4</v>
      </c>
      <c r="G550" s="115">
        <v>4285</v>
      </c>
      <c r="H550" s="156">
        <v>11.57</v>
      </c>
      <c r="I550" s="115" t="s">
        <v>2657</v>
      </c>
      <c r="J550" s="181" t="s">
        <v>5887</v>
      </c>
      <c r="K550" s="156">
        <v>11.4</v>
      </c>
      <c r="L550" s="115" t="s">
        <v>3096</v>
      </c>
      <c r="M550" s="246" t="s">
        <v>5198</v>
      </c>
      <c r="N550" s="115" t="s">
        <v>66</v>
      </c>
      <c r="O550" s="181"/>
      <c r="P550" s="181"/>
      <c r="Q550" s="115">
        <v>26163.01</v>
      </c>
      <c r="R550" s="115">
        <v>302706</v>
      </c>
      <c r="S550" s="293">
        <v>152706</v>
      </c>
      <c r="T550" s="293">
        <v>150000</v>
      </c>
      <c r="U550" s="293"/>
      <c r="V550" s="293">
        <v>752</v>
      </c>
      <c r="W550" s="293">
        <v>550</v>
      </c>
      <c r="X550" s="293"/>
      <c r="Y550" s="181" t="s">
        <v>2669</v>
      </c>
      <c r="Z550" s="181"/>
      <c r="AA550" s="245"/>
      <c r="AB550" s="181"/>
      <c r="AC550" s="239">
        <v>1235</v>
      </c>
      <c r="AD550" s="239"/>
      <c r="AE550" s="133"/>
      <c r="AF550" s="115"/>
      <c r="AG550" s="133"/>
      <c r="AH550" s="133"/>
      <c r="AI550" s="132">
        <f t="shared" si="177"/>
        <v>155243</v>
      </c>
      <c r="AJ550" s="132">
        <f t="shared" si="178"/>
        <v>154008</v>
      </c>
      <c r="AK550" s="133">
        <f t="shared" si="179"/>
        <v>1235</v>
      </c>
      <c r="AL550" s="132"/>
      <c r="AM550" s="133" t="s">
        <v>854</v>
      </c>
      <c r="AN550" s="246">
        <v>44844</v>
      </c>
    </row>
    <row r="551" customHeight="1" spans="1:40">
      <c r="A551" s="115" t="s">
        <v>5888</v>
      </c>
      <c r="B551" s="115" t="s">
        <v>5889</v>
      </c>
      <c r="C551" s="155" t="s">
        <v>5890</v>
      </c>
      <c r="D551" s="291" t="s">
        <v>5891</v>
      </c>
      <c r="E551" s="156">
        <v>13083715858</v>
      </c>
      <c r="F551" s="115">
        <v>3</v>
      </c>
      <c r="G551" s="115">
        <v>3127</v>
      </c>
      <c r="H551" s="156">
        <v>24.88</v>
      </c>
      <c r="I551" s="115" t="s">
        <v>2657</v>
      </c>
      <c r="J551" s="181" t="s">
        <v>5892</v>
      </c>
      <c r="K551" s="156">
        <v>22.35</v>
      </c>
      <c r="L551" s="115" t="s">
        <v>2762</v>
      </c>
      <c r="M551" s="246" t="s">
        <v>2762</v>
      </c>
      <c r="N551" s="115" t="s">
        <v>66</v>
      </c>
      <c r="O551" s="181"/>
      <c r="P551" s="181"/>
      <c r="Q551" s="115">
        <v>31837.76</v>
      </c>
      <c r="R551" s="115">
        <v>711574</v>
      </c>
      <c r="S551" s="293">
        <v>361574</v>
      </c>
      <c r="T551" s="293">
        <v>350000</v>
      </c>
      <c r="U551" s="293"/>
      <c r="V551" s="293"/>
      <c r="W551" s="293"/>
      <c r="X551" s="293"/>
      <c r="Y551" s="181" t="s">
        <v>2669</v>
      </c>
      <c r="Z551" s="181"/>
      <c r="AA551" s="245"/>
      <c r="AB551" s="181"/>
      <c r="AC551" s="239">
        <v>1259</v>
      </c>
      <c r="AD551" s="239"/>
      <c r="AE551" s="133"/>
      <c r="AF551" s="115"/>
      <c r="AG551" s="133"/>
      <c r="AH551" s="133"/>
      <c r="AI551" s="132">
        <f t="shared" si="177"/>
        <v>362833</v>
      </c>
      <c r="AJ551" s="132">
        <f t="shared" si="178"/>
        <v>361574</v>
      </c>
      <c r="AK551" s="133">
        <f t="shared" si="179"/>
        <v>1259</v>
      </c>
      <c r="AL551" s="132"/>
      <c r="AM551" s="133" t="s">
        <v>854</v>
      </c>
      <c r="AN551" s="246">
        <v>44844</v>
      </c>
    </row>
    <row r="552" customHeight="1" spans="1:40">
      <c r="A552" s="115" t="s">
        <v>5893</v>
      </c>
      <c r="B552" s="115" t="s">
        <v>5894</v>
      </c>
      <c r="C552" s="555" t="s">
        <v>5895</v>
      </c>
      <c r="D552" s="291" t="s">
        <v>5896</v>
      </c>
      <c r="E552" s="156">
        <v>18937677464</v>
      </c>
      <c r="F552" s="115">
        <v>1</v>
      </c>
      <c r="G552" s="115">
        <v>1586</v>
      </c>
      <c r="H552" s="156">
        <v>20.92</v>
      </c>
      <c r="I552" s="115" t="s">
        <v>2657</v>
      </c>
      <c r="J552" s="181" t="s">
        <v>5897</v>
      </c>
      <c r="K552" s="156">
        <v>18.35</v>
      </c>
      <c r="L552" s="115" t="s">
        <v>2961</v>
      </c>
      <c r="M552" s="246" t="s">
        <v>3976</v>
      </c>
      <c r="N552" s="115" t="s">
        <v>66</v>
      </c>
      <c r="O552" s="181"/>
      <c r="P552" s="181"/>
      <c r="Q552" s="115">
        <v>47978.75</v>
      </c>
      <c r="R552" s="115">
        <v>880410</v>
      </c>
      <c r="S552" s="293">
        <v>440410</v>
      </c>
      <c r="T552" s="293">
        <v>440000</v>
      </c>
      <c r="U552" s="293"/>
      <c r="V552" s="293"/>
      <c r="W552" s="293"/>
      <c r="X552" s="293"/>
      <c r="Y552" s="181"/>
      <c r="Z552" s="181"/>
      <c r="AA552" s="245"/>
      <c r="AB552" s="181"/>
      <c r="AC552" s="239"/>
      <c r="AD552" s="239"/>
      <c r="AE552" s="133"/>
      <c r="AF552" s="115"/>
      <c r="AG552" s="133"/>
      <c r="AH552" s="133"/>
      <c r="AI552" s="132">
        <f t="shared" si="177"/>
        <v>440410</v>
      </c>
      <c r="AJ552" s="132">
        <f t="shared" si="178"/>
        <v>440410</v>
      </c>
      <c r="AK552" s="133">
        <f t="shared" si="179"/>
        <v>0</v>
      </c>
      <c r="AL552" s="132"/>
      <c r="AM552" s="133" t="s">
        <v>854</v>
      </c>
      <c r="AN552" s="246">
        <v>44844</v>
      </c>
    </row>
    <row r="553" customHeight="1" spans="1:40">
      <c r="A553" s="115" t="s">
        <v>5898</v>
      </c>
      <c r="B553" s="115" t="s">
        <v>5899</v>
      </c>
      <c r="C553" s="555" t="s">
        <v>5900</v>
      </c>
      <c r="D553" s="291" t="s">
        <v>5901</v>
      </c>
      <c r="E553" s="156">
        <v>15003887068</v>
      </c>
      <c r="F553" s="115">
        <v>1</v>
      </c>
      <c r="G553" s="115">
        <v>1718</v>
      </c>
      <c r="H553" s="156">
        <v>15.19</v>
      </c>
      <c r="I553" s="115" t="s">
        <v>2657</v>
      </c>
      <c r="J553" s="181" t="s">
        <v>5902</v>
      </c>
      <c r="K553" s="156">
        <v>16.13</v>
      </c>
      <c r="L553" s="115" t="s">
        <v>3139</v>
      </c>
      <c r="M553" s="246" t="s">
        <v>3957</v>
      </c>
      <c r="N553" s="115" t="s">
        <v>66</v>
      </c>
      <c r="O553" s="181"/>
      <c r="P553" s="181"/>
      <c r="Q553" s="115">
        <v>47117.17</v>
      </c>
      <c r="R553" s="115">
        <v>715710</v>
      </c>
      <c r="S553" s="293">
        <v>385710</v>
      </c>
      <c r="T553" s="293">
        <v>330000</v>
      </c>
      <c r="U553" s="293"/>
      <c r="V553" s="293">
        <v>987</v>
      </c>
      <c r="W553" s="293">
        <v>550</v>
      </c>
      <c r="X553" s="293"/>
      <c r="Y553" s="181"/>
      <c r="Z553" s="181"/>
      <c r="AA553" s="245"/>
      <c r="AB553" s="181"/>
      <c r="AC553" s="239"/>
      <c r="AD553" s="239"/>
      <c r="AE553" s="133"/>
      <c r="AF553" s="115"/>
      <c r="AG553" s="133"/>
      <c r="AH553" s="133"/>
      <c r="AI553" s="132">
        <f t="shared" si="177"/>
        <v>387247</v>
      </c>
      <c r="AJ553" s="132">
        <f t="shared" si="178"/>
        <v>387247</v>
      </c>
      <c r="AK553" s="133">
        <f t="shared" si="179"/>
        <v>0</v>
      </c>
      <c r="AL553" s="132"/>
      <c r="AM553" s="133" t="s">
        <v>854</v>
      </c>
      <c r="AN553" s="246">
        <v>44844</v>
      </c>
    </row>
    <row r="554" customHeight="1" spans="1:40">
      <c r="A554" s="115" t="s">
        <v>5903</v>
      </c>
      <c r="B554" s="115" t="s">
        <v>5904</v>
      </c>
      <c r="C554" s="555" t="s">
        <v>5905</v>
      </c>
      <c r="D554" s="291" t="s">
        <v>5849</v>
      </c>
      <c r="E554" s="156">
        <v>18639578112</v>
      </c>
      <c r="F554" s="115">
        <v>3</v>
      </c>
      <c r="G554" s="115">
        <v>3979</v>
      </c>
      <c r="H554" s="156">
        <v>17.26</v>
      </c>
      <c r="I554" s="115" t="s">
        <v>2657</v>
      </c>
      <c r="J554" s="181"/>
      <c r="K554" s="156"/>
      <c r="L554" s="115" t="s">
        <v>2685</v>
      </c>
      <c r="M554" s="246" t="s">
        <v>5273</v>
      </c>
      <c r="N554" s="115" t="s">
        <v>56</v>
      </c>
      <c r="O554" s="181"/>
      <c r="P554" s="181"/>
      <c r="Q554" s="115">
        <v>31442.35</v>
      </c>
      <c r="R554" s="115">
        <v>542695</v>
      </c>
      <c r="S554" s="293">
        <v>542695</v>
      </c>
      <c r="T554" s="293">
        <v>0</v>
      </c>
      <c r="U554" s="293"/>
      <c r="V554" s="293">
        <v>1121</v>
      </c>
      <c r="W554" s="293">
        <v>550</v>
      </c>
      <c r="X554" s="293"/>
      <c r="Y554" s="181" t="s">
        <v>2669</v>
      </c>
      <c r="Z554" s="181" t="s">
        <v>48</v>
      </c>
      <c r="AA554" s="245">
        <v>44052</v>
      </c>
      <c r="AB554" s="181" t="s">
        <v>5906</v>
      </c>
      <c r="AC554" s="239"/>
      <c r="AD554" s="239"/>
      <c r="AE554" s="133"/>
      <c r="AF554" s="115"/>
      <c r="AG554" s="133"/>
      <c r="AH554" s="133"/>
      <c r="AI554" s="132">
        <f t="shared" si="177"/>
        <v>544366</v>
      </c>
      <c r="AJ554" s="132">
        <f t="shared" si="178"/>
        <v>544366</v>
      </c>
      <c r="AK554" s="133">
        <f t="shared" si="179"/>
        <v>0</v>
      </c>
      <c r="AL554" s="132"/>
      <c r="AM554" s="133" t="s">
        <v>854</v>
      </c>
      <c r="AN554" s="246">
        <v>44844</v>
      </c>
    </row>
    <row r="555" customHeight="1" spans="1:40">
      <c r="A555" s="115" t="s">
        <v>5907</v>
      </c>
      <c r="B555" s="111" t="s">
        <v>5908</v>
      </c>
      <c r="C555" s="111" t="s">
        <v>5909</v>
      </c>
      <c r="D555" s="113" t="s">
        <v>5910</v>
      </c>
      <c r="E555" s="113">
        <v>15838078184</v>
      </c>
      <c r="F555" s="267">
        <v>3</v>
      </c>
      <c r="G555" s="268">
        <v>3145</v>
      </c>
      <c r="H555" s="274">
        <v>18</v>
      </c>
      <c r="I555" s="274" t="s">
        <v>2657</v>
      </c>
      <c r="J555" s="113" t="s">
        <v>5911</v>
      </c>
      <c r="K555" s="116">
        <v>14.41</v>
      </c>
      <c r="L555" s="266" t="s">
        <v>3514</v>
      </c>
      <c r="M555" s="266" t="s">
        <v>3472</v>
      </c>
      <c r="N555" s="113" t="s">
        <v>66</v>
      </c>
      <c r="O555" s="113"/>
      <c r="P555" s="113"/>
      <c r="Q555" s="113">
        <v>31776.61</v>
      </c>
      <c r="R555" s="113">
        <v>571979</v>
      </c>
      <c r="S555" s="121">
        <v>291979</v>
      </c>
      <c r="T555" s="292">
        <f>R555-S555</f>
        <v>280000</v>
      </c>
      <c r="U555" s="113"/>
      <c r="V555" s="113">
        <v>1170</v>
      </c>
      <c r="W555" s="113">
        <v>550</v>
      </c>
      <c r="X555" s="113"/>
      <c r="Y555" s="113" t="s">
        <v>2669</v>
      </c>
      <c r="Z555" s="113"/>
      <c r="AA555" s="275"/>
      <c r="AB555" s="113"/>
      <c r="AC555" s="113"/>
      <c r="AD555" s="113"/>
      <c r="AE555" s="133"/>
      <c r="AF555" s="115"/>
      <c r="AG555" s="133"/>
      <c r="AH555" s="133"/>
      <c r="AI555" s="132">
        <f t="shared" si="177"/>
        <v>293699</v>
      </c>
      <c r="AJ555" s="132">
        <f t="shared" si="178"/>
        <v>293699</v>
      </c>
      <c r="AK555" s="133">
        <f t="shared" si="179"/>
        <v>0</v>
      </c>
      <c r="AL555" s="310"/>
      <c r="AM555" s="133" t="s">
        <v>974</v>
      </c>
      <c r="AN555" s="246">
        <v>44844</v>
      </c>
    </row>
    <row r="556" customHeight="1" spans="1:40">
      <c r="A556" s="115" t="s">
        <v>5912</v>
      </c>
      <c r="B556" s="111" t="s">
        <v>5913</v>
      </c>
      <c r="C556" s="111" t="s">
        <v>5914</v>
      </c>
      <c r="D556" s="113" t="s">
        <v>5915</v>
      </c>
      <c r="E556" s="113" t="s">
        <v>5916</v>
      </c>
      <c r="F556" s="267">
        <v>2</v>
      </c>
      <c r="G556" s="268">
        <v>2207</v>
      </c>
      <c r="H556" s="274">
        <v>15.65</v>
      </c>
      <c r="I556" s="274" t="s">
        <v>2665</v>
      </c>
      <c r="J556" s="113" t="s">
        <v>5917</v>
      </c>
      <c r="K556" s="116">
        <v>19.7</v>
      </c>
      <c r="L556" s="266" t="s">
        <v>3387</v>
      </c>
      <c r="M556" s="266" t="s">
        <v>4257</v>
      </c>
      <c r="N556" s="113" t="s">
        <v>66</v>
      </c>
      <c r="O556" s="113"/>
      <c r="P556" s="113"/>
      <c r="Q556" s="113">
        <v>35275.74</v>
      </c>
      <c r="R556" s="113">
        <v>552065</v>
      </c>
      <c r="S556" s="121">
        <v>354065</v>
      </c>
      <c r="T556" s="292">
        <f>R556-S556</f>
        <v>198000</v>
      </c>
      <c r="U556" s="113"/>
      <c r="V556" s="113">
        <v>1017</v>
      </c>
      <c r="W556" s="113">
        <v>550</v>
      </c>
      <c r="X556" s="113"/>
      <c r="Y556" s="113" t="s">
        <v>2669</v>
      </c>
      <c r="Z556" s="113"/>
      <c r="AA556" s="275"/>
      <c r="AB556" s="113"/>
      <c r="AC556" s="113"/>
      <c r="AD556" s="113"/>
      <c r="AE556" s="133"/>
      <c r="AF556" s="115"/>
      <c r="AG556" s="133"/>
      <c r="AH556" s="133"/>
      <c r="AI556" s="132">
        <f t="shared" si="177"/>
        <v>355632</v>
      </c>
      <c r="AJ556" s="132">
        <f t="shared" si="178"/>
        <v>355632</v>
      </c>
      <c r="AK556" s="133">
        <f t="shared" si="179"/>
        <v>0</v>
      </c>
      <c r="AL556" s="310"/>
      <c r="AM556" s="133" t="s">
        <v>974</v>
      </c>
      <c r="AN556" s="246">
        <v>44844</v>
      </c>
    </row>
    <row r="557" customHeight="1" spans="1:40">
      <c r="A557" s="115" t="s">
        <v>5918</v>
      </c>
      <c r="B557" s="111" t="s">
        <v>5919</v>
      </c>
      <c r="C557" s="111" t="s">
        <v>5920</v>
      </c>
      <c r="D557" s="113" t="s">
        <v>5921</v>
      </c>
      <c r="E557" s="113">
        <v>13503820737</v>
      </c>
      <c r="F557" s="267">
        <v>3</v>
      </c>
      <c r="G557" s="268">
        <v>3335</v>
      </c>
      <c r="H557" s="274">
        <v>19.42</v>
      </c>
      <c r="I557" s="274" t="s">
        <v>2657</v>
      </c>
      <c r="J557" s="113" t="s">
        <v>5922</v>
      </c>
      <c r="K557" s="116">
        <v>16.86</v>
      </c>
      <c r="L557" s="266" t="s">
        <v>3049</v>
      </c>
      <c r="M557" s="266" t="s">
        <v>4289</v>
      </c>
      <c r="N557" s="113" t="s">
        <v>66</v>
      </c>
      <c r="O557" s="113"/>
      <c r="P557" s="113"/>
      <c r="Q557" s="113">
        <v>31826.1</v>
      </c>
      <c r="R557" s="113">
        <v>618063</v>
      </c>
      <c r="S557" s="121">
        <v>318063</v>
      </c>
      <c r="T557" s="292">
        <f>R557-S557</f>
        <v>300000</v>
      </c>
      <c r="U557" s="113"/>
      <c r="V557" s="113">
        <v>1262</v>
      </c>
      <c r="W557" s="113">
        <v>550</v>
      </c>
      <c r="X557" s="113"/>
      <c r="Y557" s="113" t="s">
        <v>2669</v>
      </c>
      <c r="Z557" s="113"/>
      <c r="AA557" s="275"/>
      <c r="AB557" s="113"/>
      <c r="AC557" s="113">
        <v>1250</v>
      </c>
      <c r="AD557" s="113"/>
      <c r="AE557" s="133"/>
      <c r="AF557" s="115"/>
      <c r="AG557" s="133"/>
      <c r="AH557" s="133"/>
      <c r="AI557" s="132">
        <f t="shared" si="177"/>
        <v>321125</v>
      </c>
      <c r="AJ557" s="132">
        <f t="shared" si="178"/>
        <v>319875</v>
      </c>
      <c r="AK557" s="133">
        <f t="shared" si="179"/>
        <v>1250</v>
      </c>
      <c r="AL557" s="310"/>
      <c r="AM557" s="133" t="s">
        <v>974</v>
      </c>
      <c r="AN557" s="246">
        <v>44844</v>
      </c>
    </row>
    <row r="558" customHeight="1" spans="1:40">
      <c r="A558" s="115" t="s">
        <v>5923</v>
      </c>
      <c r="B558" s="111" t="s">
        <v>5924</v>
      </c>
      <c r="C558" s="111" t="s">
        <v>5925</v>
      </c>
      <c r="D558" s="113" t="s">
        <v>5926</v>
      </c>
      <c r="E558" s="113">
        <v>13613812572</v>
      </c>
      <c r="F558" s="267">
        <v>3</v>
      </c>
      <c r="G558" s="268">
        <v>3823</v>
      </c>
      <c r="H558" s="274">
        <v>23.08</v>
      </c>
      <c r="I558" s="274" t="s">
        <v>2657</v>
      </c>
      <c r="J558" s="113" t="s">
        <v>5927</v>
      </c>
      <c r="K558" s="116">
        <v>22.06</v>
      </c>
      <c r="L558" s="266" t="s">
        <v>5928</v>
      </c>
      <c r="M558" s="266" t="s">
        <v>5928</v>
      </c>
      <c r="N558" s="113" t="s">
        <v>66</v>
      </c>
      <c r="O558" s="113"/>
      <c r="P558" s="113"/>
      <c r="Q558" s="113">
        <v>31993.25</v>
      </c>
      <c r="R558" s="113">
        <v>705771</v>
      </c>
      <c r="S558" s="121">
        <v>355771</v>
      </c>
      <c r="T558" s="292">
        <f>R558-S558</f>
        <v>350000</v>
      </c>
      <c r="U558" s="113"/>
      <c r="V558" s="113"/>
      <c r="W558" s="113"/>
      <c r="X558" s="113"/>
      <c r="Y558" s="113"/>
      <c r="Z558" s="113"/>
      <c r="AA558" s="275"/>
      <c r="AB558" s="113" t="s">
        <v>5929</v>
      </c>
      <c r="AC558" s="113"/>
      <c r="AD558" s="113"/>
      <c r="AE558" s="133"/>
      <c r="AF558" s="115"/>
      <c r="AG558" s="133"/>
      <c r="AH558" s="133"/>
      <c r="AI558" s="132">
        <f t="shared" si="177"/>
        <v>355771</v>
      </c>
      <c r="AJ558" s="132">
        <f t="shared" si="178"/>
        <v>355771</v>
      </c>
      <c r="AK558" s="133">
        <f t="shared" si="179"/>
        <v>0</v>
      </c>
      <c r="AL558" s="310"/>
      <c r="AM558" s="133" t="s">
        <v>974</v>
      </c>
      <c r="AN558" s="246">
        <v>44844</v>
      </c>
    </row>
    <row r="559" customHeight="1" spans="1:40">
      <c r="A559" s="115" t="s">
        <v>5930</v>
      </c>
      <c r="B559" s="111" t="s">
        <v>5931</v>
      </c>
      <c r="C559" s="554" t="s">
        <v>5932</v>
      </c>
      <c r="D559" s="113" t="s">
        <v>5933</v>
      </c>
      <c r="E559" s="113">
        <v>15838299598</v>
      </c>
      <c r="F559" s="267">
        <v>4</v>
      </c>
      <c r="G559" s="268">
        <v>4202</v>
      </c>
      <c r="H559" s="274">
        <v>12.98</v>
      </c>
      <c r="I559" s="274" t="s">
        <v>2657</v>
      </c>
      <c r="J559" s="113" t="s">
        <v>5934</v>
      </c>
      <c r="K559" s="116">
        <v>12.3</v>
      </c>
      <c r="L559" s="266" t="s">
        <v>2705</v>
      </c>
      <c r="M559" s="266" t="s">
        <v>2928</v>
      </c>
      <c r="N559" s="113" t="s">
        <v>66</v>
      </c>
      <c r="O559" s="113"/>
      <c r="P559" s="113"/>
      <c r="Q559" s="113">
        <v>26553.17</v>
      </c>
      <c r="R559" s="113">
        <v>344660</v>
      </c>
      <c r="S559" s="121">
        <v>174660</v>
      </c>
      <c r="T559" s="292"/>
      <c r="U559" s="113">
        <v>170000</v>
      </c>
      <c r="V559" s="113">
        <v>843</v>
      </c>
      <c r="W559" s="113">
        <v>550</v>
      </c>
      <c r="X559" s="113"/>
      <c r="Y559" s="113" t="s">
        <v>2669</v>
      </c>
      <c r="Z559" s="113" t="s">
        <v>48</v>
      </c>
      <c r="AA559" s="275">
        <v>44021</v>
      </c>
      <c r="AB559" s="113"/>
      <c r="AC559" s="113">
        <v>1237</v>
      </c>
      <c r="AD559" s="113"/>
      <c r="AE559" s="133"/>
      <c r="AF559" s="115"/>
      <c r="AG559" s="133"/>
      <c r="AH559" s="133"/>
      <c r="AI559" s="132">
        <f t="shared" si="177"/>
        <v>347290</v>
      </c>
      <c r="AJ559" s="132">
        <f t="shared" si="178"/>
        <v>346053</v>
      </c>
      <c r="AK559" s="133">
        <f t="shared" si="179"/>
        <v>1237</v>
      </c>
      <c r="AL559" s="310"/>
      <c r="AM559" s="133" t="s">
        <v>974</v>
      </c>
      <c r="AN559" s="246">
        <v>44844</v>
      </c>
    </row>
    <row r="560" customHeight="1" spans="1:40">
      <c r="A560" s="115" t="s">
        <v>5935</v>
      </c>
      <c r="B560" s="115" t="s">
        <v>5936</v>
      </c>
      <c r="C560" s="555" t="s">
        <v>5937</v>
      </c>
      <c r="D560" s="291" t="s">
        <v>5938</v>
      </c>
      <c r="E560" s="156"/>
      <c r="F560" s="115">
        <v>4</v>
      </c>
      <c r="G560" s="115">
        <v>4164</v>
      </c>
      <c r="H560" s="156">
        <v>18.35</v>
      </c>
      <c r="I560" s="115" t="s">
        <v>2665</v>
      </c>
      <c r="J560" s="181" t="s">
        <v>5939</v>
      </c>
      <c r="K560" s="156">
        <v>18.73</v>
      </c>
      <c r="L560" s="115" t="s">
        <v>2712</v>
      </c>
      <c r="M560" s="246" t="s">
        <v>3145</v>
      </c>
      <c r="N560" s="115" t="s">
        <v>56</v>
      </c>
      <c r="O560" s="181"/>
      <c r="P560" s="181"/>
      <c r="Q560" s="115">
        <v>24531.23</v>
      </c>
      <c r="R560" s="115">
        <v>450148</v>
      </c>
      <c r="S560" s="293">
        <v>450148</v>
      </c>
      <c r="T560" s="293">
        <v>0</v>
      </c>
      <c r="U560" s="293"/>
      <c r="V560" s="293">
        <v>1192</v>
      </c>
      <c r="W560" s="293">
        <v>550</v>
      </c>
      <c r="X560" s="293">
        <v>7580</v>
      </c>
      <c r="Y560" s="181" t="s">
        <v>2669</v>
      </c>
      <c r="Z560" s="181" t="s">
        <v>48</v>
      </c>
      <c r="AA560" s="245">
        <v>44021</v>
      </c>
      <c r="AB560" s="181"/>
      <c r="AC560" s="239"/>
      <c r="AD560" s="239"/>
      <c r="AE560" s="133"/>
      <c r="AF560" s="115"/>
      <c r="AG560" s="133"/>
      <c r="AH560" s="133"/>
      <c r="AI560" s="132">
        <f t="shared" si="177"/>
        <v>459470</v>
      </c>
      <c r="AJ560" s="132">
        <f t="shared" si="178"/>
        <v>459470</v>
      </c>
      <c r="AK560" s="133">
        <f t="shared" si="179"/>
        <v>0</v>
      </c>
      <c r="AL560" s="132"/>
      <c r="AM560" s="133" t="s">
        <v>854</v>
      </c>
      <c r="AN560" s="246">
        <v>44844</v>
      </c>
    </row>
    <row r="561" customHeight="1" spans="1:40">
      <c r="A561" s="115" t="s">
        <v>5940</v>
      </c>
      <c r="B561" s="115" t="s">
        <v>5941</v>
      </c>
      <c r="C561" s="555" t="s">
        <v>5942</v>
      </c>
      <c r="D561" s="291" t="s">
        <v>5943</v>
      </c>
      <c r="E561" s="156">
        <v>13849173405</v>
      </c>
      <c r="F561" s="115">
        <v>1</v>
      </c>
      <c r="G561" s="115">
        <v>1776</v>
      </c>
      <c r="H561" s="156">
        <v>15.32</v>
      </c>
      <c r="I561" s="115" t="s">
        <v>2657</v>
      </c>
      <c r="J561" s="181" t="s">
        <v>5944</v>
      </c>
      <c r="K561" s="156">
        <v>15.39</v>
      </c>
      <c r="L561" s="115" t="s">
        <v>3497</v>
      </c>
      <c r="M561" s="246" t="s">
        <v>2835</v>
      </c>
      <c r="N561" s="115" t="s">
        <v>66</v>
      </c>
      <c r="O561" s="181"/>
      <c r="P561" s="181"/>
      <c r="Q561" s="115">
        <v>47433.4</v>
      </c>
      <c r="R561" s="115">
        <v>726680</v>
      </c>
      <c r="S561" s="293">
        <v>376680</v>
      </c>
      <c r="T561" s="293">
        <v>350000</v>
      </c>
      <c r="U561" s="293"/>
      <c r="V561" s="293">
        <v>995</v>
      </c>
      <c r="W561" s="293">
        <v>550</v>
      </c>
      <c r="X561" s="293"/>
      <c r="Y561" s="181"/>
      <c r="Z561" s="181"/>
      <c r="AA561" s="245"/>
      <c r="AB561" s="181"/>
      <c r="AC561" s="239">
        <v>1255</v>
      </c>
      <c r="AD561" s="239"/>
      <c r="AE561" s="133"/>
      <c r="AF561" s="115"/>
      <c r="AG561" s="133"/>
      <c r="AH561" s="133"/>
      <c r="AI561" s="132">
        <f t="shared" ref="AI561:AI570" si="180">S561+U561+V561+W561+X561+AC561+AD561+AE561</f>
        <v>379480</v>
      </c>
      <c r="AJ561" s="132">
        <f t="shared" ref="AJ561:AJ570" si="181">S561+U561+V561+W561+X561</f>
        <v>378225</v>
      </c>
      <c r="AK561" s="133">
        <f t="shared" ref="AK561:AK570" si="182">AI561-AJ561</f>
        <v>1255</v>
      </c>
      <c r="AL561" s="132"/>
      <c r="AM561" s="133" t="s">
        <v>854</v>
      </c>
      <c r="AN561" s="246">
        <v>44844</v>
      </c>
    </row>
    <row r="562" customHeight="1" spans="1:40">
      <c r="A562" s="115" t="s">
        <v>5945</v>
      </c>
      <c r="B562" s="115" t="s">
        <v>5946</v>
      </c>
      <c r="C562" s="555" t="s">
        <v>5947</v>
      </c>
      <c r="D562" s="291" t="s">
        <v>5948</v>
      </c>
      <c r="E562" s="156">
        <v>13837140011</v>
      </c>
      <c r="F562" s="115">
        <v>1</v>
      </c>
      <c r="G562" s="115">
        <v>1622</v>
      </c>
      <c r="H562" s="156">
        <v>15.75</v>
      </c>
      <c r="I562" s="115" t="s">
        <v>2657</v>
      </c>
      <c r="J562" s="181" t="s">
        <v>5949</v>
      </c>
      <c r="K562" s="156">
        <v>16.26</v>
      </c>
      <c r="L562" s="115" t="s">
        <v>2897</v>
      </c>
      <c r="M562" s="246" t="s">
        <v>4515</v>
      </c>
      <c r="N562" s="115" t="s">
        <v>56</v>
      </c>
      <c r="O562" s="181"/>
      <c r="P562" s="181"/>
      <c r="Q562" s="115">
        <v>46990.22</v>
      </c>
      <c r="R562" s="115">
        <v>740096</v>
      </c>
      <c r="S562" s="293">
        <v>740096</v>
      </c>
      <c r="T562" s="293">
        <v>0</v>
      </c>
      <c r="U562" s="293"/>
      <c r="V562" s="293">
        <v>1023</v>
      </c>
      <c r="W562" s="293">
        <v>550</v>
      </c>
      <c r="X562" s="293">
        <v>22392</v>
      </c>
      <c r="Y562" s="181" t="s">
        <v>2669</v>
      </c>
      <c r="Z562" s="181"/>
      <c r="AA562" s="245"/>
      <c r="AB562" s="181"/>
      <c r="AC562" s="239"/>
      <c r="AD562" s="239"/>
      <c r="AE562" s="133"/>
      <c r="AF562" s="115"/>
      <c r="AG562" s="133"/>
      <c r="AH562" s="133"/>
      <c r="AI562" s="132">
        <f t="shared" si="180"/>
        <v>764061</v>
      </c>
      <c r="AJ562" s="132">
        <f t="shared" si="181"/>
        <v>764061</v>
      </c>
      <c r="AK562" s="133">
        <f t="shared" si="182"/>
        <v>0</v>
      </c>
      <c r="AL562" s="132"/>
      <c r="AM562" s="133" t="s">
        <v>854</v>
      </c>
      <c r="AN562" s="246">
        <v>44844</v>
      </c>
    </row>
    <row r="563" customHeight="1" spans="1:40">
      <c r="A563" s="115" t="s">
        <v>5950</v>
      </c>
      <c r="B563" s="111" t="s">
        <v>5951</v>
      </c>
      <c r="C563" s="554" t="s">
        <v>5952</v>
      </c>
      <c r="D563" s="113" t="s">
        <v>5953</v>
      </c>
      <c r="E563" s="113">
        <v>13525517866</v>
      </c>
      <c r="F563" s="267">
        <v>4</v>
      </c>
      <c r="G563" s="268">
        <v>4484</v>
      </c>
      <c r="H563" s="274">
        <v>8.71</v>
      </c>
      <c r="I563" s="274" t="s">
        <v>2657</v>
      </c>
      <c r="J563" s="113" t="s">
        <v>5954</v>
      </c>
      <c r="K563" s="116">
        <v>8.28</v>
      </c>
      <c r="L563" s="266" t="s">
        <v>3326</v>
      </c>
      <c r="M563" s="266" t="s">
        <v>4328</v>
      </c>
      <c r="N563" s="113" t="s">
        <v>56</v>
      </c>
      <c r="O563" s="113"/>
      <c r="P563" s="113"/>
      <c r="Q563" s="113">
        <v>25748.55</v>
      </c>
      <c r="R563" s="113">
        <v>224270</v>
      </c>
      <c r="S563" s="121">
        <v>224270</v>
      </c>
      <c r="T563" s="292">
        <f>R563-S563</f>
        <v>0</v>
      </c>
      <c r="U563" s="113"/>
      <c r="V563" s="113">
        <v>566</v>
      </c>
      <c r="W563" s="113">
        <v>550</v>
      </c>
      <c r="X563" s="113"/>
      <c r="Y563" s="113" t="s">
        <v>2669</v>
      </c>
      <c r="Z563" s="113" t="s">
        <v>48</v>
      </c>
      <c r="AA563" s="275">
        <v>44021</v>
      </c>
      <c r="AB563" s="113"/>
      <c r="AC563" s="113"/>
      <c r="AD563" s="113"/>
      <c r="AE563" s="133"/>
      <c r="AF563" s="115"/>
      <c r="AG563" s="133"/>
      <c r="AH563" s="133"/>
      <c r="AI563" s="132">
        <f t="shared" si="180"/>
        <v>225386</v>
      </c>
      <c r="AJ563" s="132">
        <f t="shared" si="181"/>
        <v>225386</v>
      </c>
      <c r="AK563" s="133">
        <f t="shared" si="182"/>
        <v>0</v>
      </c>
      <c r="AL563" s="310"/>
      <c r="AM563" s="133" t="s">
        <v>974</v>
      </c>
      <c r="AN563" s="246">
        <v>44844</v>
      </c>
    </row>
    <row r="564" customHeight="1" spans="1:40">
      <c r="A564" s="115" t="s">
        <v>5955</v>
      </c>
      <c r="B564" s="111" t="s">
        <v>5956</v>
      </c>
      <c r="C564" s="554" t="s">
        <v>5957</v>
      </c>
      <c r="D564" s="113" t="s">
        <v>5958</v>
      </c>
      <c r="E564" s="113">
        <v>18739475565</v>
      </c>
      <c r="F564" s="267">
        <v>4</v>
      </c>
      <c r="G564" s="268">
        <v>4483</v>
      </c>
      <c r="H564" s="274">
        <v>12.42</v>
      </c>
      <c r="I564" s="274" t="s">
        <v>2657</v>
      </c>
      <c r="J564" s="113" t="s">
        <v>5959</v>
      </c>
      <c r="K564" s="116">
        <v>14.14</v>
      </c>
      <c r="L564" s="266" t="s">
        <v>3577</v>
      </c>
      <c r="M564" s="266" t="s">
        <v>2763</v>
      </c>
      <c r="N564" s="113" t="s">
        <v>66</v>
      </c>
      <c r="O564" s="113"/>
      <c r="P564" s="113"/>
      <c r="Q564" s="113">
        <v>24521.66</v>
      </c>
      <c r="R564" s="113">
        <v>304559</v>
      </c>
      <c r="S564" s="121">
        <v>184559</v>
      </c>
      <c r="T564" s="292">
        <f>R564-S564</f>
        <v>120000</v>
      </c>
      <c r="U564" s="113"/>
      <c r="V564" s="113">
        <v>807</v>
      </c>
      <c r="W564" s="113">
        <v>550</v>
      </c>
      <c r="X564" s="113"/>
      <c r="Y564" s="113" t="s">
        <v>2669</v>
      </c>
      <c r="Z564" s="113"/>
      <c r="AA564" s="275"/>
      <c r="AB564" s="113"/>
      <c r="AC564" s="113">
        <v>1232</v>
      </c>
      <c r="AD564" s="113"/>
      <c r="AE564" s="133"/>
      <c r="AF564" s="115"/>
      <c r="AG564" s="133"/>
      <c r="AH564" s="133"/>
      <c r="AI564" s="132">
        <f t="shared" si="180"/>
        <v>187148</v>
      </c>
      <c r="AJ564" s="132">
        <f t="shared" si="181"/>
        <v>185916</v>
      </c>
      <c r="AK564" s="133">
        <f t="shared" si="182"/>
        <v>1232</v>
      </c>
      <c r="AL564" s="310"/>
      <c r="AM564" s="133" t="s">
        <v>974</v>
      </c>
      <c r="AN564" s="246">
        <v>44844</v>
      </c>
    </row>
    <row r="565" customHeight="1" spans="1:40">
      <c r="A565" s="115" t="s">
        <v>5960</v>
      </c>
      <c r="B565" s="111" t="s">
        <v>5961</v>
      </c>
      <c r="C565" s="554" t="s">
        <v>5962</v>
      </c>
      <c r="D565" s="113" t="s">
        <v>5963</v>
      </c>
      <c r="E565" s="113">
        <v>18593162261</v>
      </c>
      <c r="F565" s="267">
        <v>4</v>
      </c>
      <c r="G565" s="268">
        <v>4363</v>
      </c>
      <c r="H565" s="274">
        <v>35.27</v>
      </c>
      <c r="I565" s="274" t="s">
        <v>2657</v>
      </c>
      <c r="J565" s="113" t="s">
        <v>5964</v>
      </c>
      <c r="K565" s="116">
        <v>30.44</v>
      </c>
      <c r="L565" s="266" t="s">
        <v>3258</v>
      </c>
      <c r="M565" s="266" t="s">
        <v>3932</v>
      </c>
      <c r="N565" s="113" t="s">
        <v>66</v>
      </c>
      <c r="O565" s="113"/>
      <c r="P565" s="113"/>
      <c r="Q565" s="113">
        <v>25519.28</v>
      </c>
      <c r="R565" s="113">
        <v>776807</v>
      </c>
      <c r="S565" s="121">
        <v>396807</v>
      </c>
      <c r="T565" s="292">
        <f>R565-S565</f>
        <v>380000</v>
      </c>
      <c r="U565" s="113"/>
      <c r="V565" s="113"/>
      <c r="W565" s="113"/>
      <c r="X565" s="113"/>
      <c r="Y565" s="113"/>
      <c r="Z565" s="113"/>
      <c r="AA565" s="275"/>
      <c r="AB565" s="113" t="s">
        <v>5965</v>
      </c>
      <c r="AC565" s="113"/>
      <c r="AD565" s="113"/>
      <c r="AE565" s="133"/>
      <c r="AF565" s="115"/>
      <c r="AG565" s="133"/>
      <c r="AH565" s="133"/>
      <c r="AI565" s="132">
        <f t="shared" si="180"/>
        <v>396807</v>
      </c>
      <c r="AJ565" s="132">
        <f t="shared" si="181"/>
        <v>396807</v>
      </c>
      <c r="AK565" s="133">
        <f t="shared" si="182"/>
        <v>0</v>
      </c>
      <c r="AL565" s="310"/>
      <c r="AM565" s="133" t="s">
        <v>974</v>
      </c>
      <c r="AN565" s="246">
        <v>44844</v>
      </c>
    </row>
    <row r="566" customHeight="1" spans="1:40">
      <c r="A566" s="115" t="s">
        <v>5966</v>
      </c>
      <c r="B566" s="111" t="s">
        <v>5967</v>
      </c>
      <c r="C566" s="554" t="s">
        <v>5968</v>
      </c>
      <c r="D566" s="113" t="s">
        <v>5969</v>
      </c>
      <c r="E566" s="113">
        <v>13503838654</v>
      </c>
      <c r="F566" s="267">
        <v>4</v>
      </c>
      <c r="G566" s="268">
        <v>4379</v>
      </c>
      <c r="H566" s="274">
        <v>20.94</v>
      </c>
      <c r="I566" s="274" t="s">
        <v>2657</v>
      </c>
      <c r="J566" s="113" t="s">
        <v>5970</v>
      </c>
      <c r="K566" s="116">
        <v>17.14</v>
      </c>
      <c r="L566" s="266" t="s">
        <v>3258</v>
      </c>
      <c r="M566" s="266" t="s">
        <v>3932</v>
      </c>
      <c r="N566" s="113" t="s">
        <v>56</v>
      </c>
      <c r="O566" s="113"/>
      <c r="P566" s="113"/>
      <c r="Q566" s="113">
        <v>25639.5</v>
      </c>
      <c r="R566" s="113">
        <v>439461</v>
      </c>
      <c r="S566" s="121">
        <v>439461</v>
      </c>
      <c r="T566" s="292">
        <f>R566-S566</f>
        <v>0</v>
      </c>
      <c r="U566" s="113"/>
      <c r="V566" s="113"/>
      <c r="W566" s="113"/>
      <c r="X566" s="113"/>
      <c r="Y566" s="113"/>
      <c r="Z566" s="113"/>
      <c r="AA566" s="275"/>
      <c r="AB566" s="113"/>
      <c r="AC566" s="113"/>
      <c r="AD566" s="113"/>
      <c r="AE566" s="133"/>
      <c r="AF566" s="115"/>
      <c r="AG566" s="133"/>
      <c r="AH566" s="133"/>
      <c r="AI566" s="132">
        <f t="shared" si="180"/>
        <v>439461</v>
      </c>
      <c r="AJ566" s="132">
        <f t="shared" si="181"/>
        <v>439461</v>
      </c>
      <c r="AK566" s="133">
        <f t="shared" si="182"/>
        <v>0</v>
      </c>
      <c r="AL566" s="310"/>
      <c r="AM566" s="133" t="s">
        <v>974</v>
      </c>
      <c r="AN566" s="246">
        <v>44844</v>
      </c>
    </row>
    <row r="567" customHeight="1" spans="1:40">
      <c r="A567" s="115" t="s">
        <v>5971</v>
      </c>
      <c r="B567" s="111" t="s">
        <v>5972</v>
      </c>
      <c r="C567" s="111" t="s">
        <v>5973</v>
      </c>
      <c r="D567" s="113" t="s">
        <v>5974</v>
      </c>
      <c r="E567" s="113">
        <v>13223715062</v>
      </c>
      <c r="F567" s="267">
        <v>4</v>
      </c>
      <c r="G567" s="268">
        <v>4197</v>
      </c>
      <c r="H567" s="274">
        <v>18</v>
      </c>
      <c r="I567" s="274" t="s">
        <v>2657</v>
      </c>
      <c r="J567" s="113" t="s">
        <v>5975</v>
      </c>
      <c r="K567" s="116">
        <v>16.53</v>
      </c>
      <c r="L567" s="266" t="s">
        <v>3911</v>
      </c>
      <c r="M567" s="266" t="s">
        <v>2897</v>
      </c>
      <c r="N567" s="113" t="s">
        <v>56</v>
      </c>
      <c r="O567" s="113"/>
      <c r="P567" s="113"/>
      <c r="Q567" s="113">
        <v>26178.22</v>
      </c>
      <c r="R567" s="113">
        <v>432726</v>
      </c>
      <c r="S567" s="121">
        <v>432726</v>
      </c>
      <c r="T567" s="292">
        <f>R567-S567</f>
        <v>0</v>
      </c>
      <c r="U567" s="113"/>
      <c r="V567" s="113"/>
      <c r="W567" s="113"/>
      <c r="X567" s="113"/>
      <c r="Y567" s="113"/>
      <c r="Z567" s="113"/>
      <c r="AA567" s="275"/>
      <c r="AB567" s="113" t="s">
        <v>5976</v>
      </c>
      <c r="AC567" s="113"/>
      <c r="AD567" s="113"/>
      <c r="AE567" s="133"/>
      <c r="AF567" s="115"/>
      <c r="AG567" s="133"/>
      <c r="AH567" s="133"/>
      <c r="AI567" s="132">
        <f t="shared" si="180"/>
        <v>432726</v>
      </c>
      <c r="AJ567" s="132">
        <f t="shared" si="181"/>
        <v>432726</v>
      </c>
      <c r="AK567" s="133">
        <f t="shared" si="182"/>
        <v>0</v>
      </c>
      <c r="AL567" s="310"/>
      <c r="AM567" s="133" t="s">
        <v>974</v>
      </c>
      <c r="AN567" s="246">
        <v>44844</v>
      </c>
    </row>
    <row r="568" customHeight="1" spans="1:40">
      <c r="A568" s="115" t="s">
        <v>5977</v>
      </c>
      <c r="B568" s="115" t="s">
        <v>2408</v>
      </c>
      <c r="C568" s="555" t="s">
        <v>5978</v>
      </c>
      <c r="D568" s="291" t="s">
        <v>5974</v>
      </c>
      <c r="E568" s="156">
        <v>13223715062</v>
      </c>
      <c r="F568" s="115">
        <v>4</v>
      </c>
      <c r="G568" s="115">
        <v>4196</v>
      </c>
      <c r="H568" s="156">
        <v>15.93</v>
      </c>
      <c r="I568" s="115" t="s">
        <v>2657</v>
      </c>
      <c r="J568" s="181" t="s">
        <v>5979</v>
      </c>
      <c r="K568" s="156">
        <v>9.6</v>
      </c>
      <c r="L568" s="115" t="s">
        <v>2691</v>
      </c>
      <c r="M568" s="246" t="s">
        <v>2897</v>
      </c>
      <c r="N568" s="115" t="s">
        <v>56</v>
      </c>
      <c r="O568" s="181"/>
      <c r="P568" s="181"/>
      <c r="Q568" s="115">
        <v>26735.31</v>
      </c>
      <c r="R568" s="115">
        <v>256659</v>
      </c>
      <c r="S568" s="293">
        <v>256659</v>
      </c>
      <c r="T568" s="293">
        <v>0</v>
      </c>
      <c r="U568" s="293"/>
      <c r="V568" s="293"/>
      <c r="W568" s="293"/>
      <c r="X568" s="293"/>
      <c r="Y568" s="181"/>
      <c r="Z568" s="181"/>
      <c r="AA568" s="245"/>
      <c r="AB568" s="181"/>
      <c r="AC568" s="239"/>
      <c r="AD568" s="239"/>
      <c r="AE568" s="133"/>
      <c r="AF568" s="115"/>
      <c r="AG568" s="133"/>
      <c r="AH568" s="133"/>
      <c r="AI568" s="132">
        <f t="shared" si="180"/>
        <v>256659</v>
      </c>
      <c r="AJ568" s="132">
        <f t="shared" si="181"/>
        <v>256659</v>
      </c>
      <c r="AK568" s="133">
        <f t="shared" si="182"/>
        <v>0</v>
      </c>
      <c r="AL568" s="132"/>
      <c r="AM568" s="133" t="s">
        <v>854</v>
      </c>
      <c r="AN568" s="246">
        <v>44844</v>
      </c>
    </row>
    <row r="569" customHeight="1" spans="1:40">
      <c r="A569" s="115" t="s">
        <v>5980</v>
      </c>
      <c r="B569" s="115" t="s">
        <v>5981</v>
      </c>
      <c r="C569" s="555" t="s">
        <v>5982</v>
      </c>
      <c r="D569" s="291" t="s">
        <v>5983</v>
      </c>
      <c r="E569" s="156">
        <v>15515520090</v>
      </c>
      <c r="F569" s="115">
        <v>4</v>
      </c>
      <c r="G569" s="115">
        <v>428</v>
      </c>
      <c r="H569" s="156">
        <v>41.37</v>
      </c>
      <c r="I569" s="115" t="s">
        <v>2657</v>
      </c>
      <c r="J569" s="181" t="s">
        <v>5984</v>
      </c>
      <c r="K569" s="156">
        <v>34.65</v>
      </c>
      <c r="L569" s="115" t="s">
        <v>3326</v>
      </c>
      <c r="M569" s="246" t="s">
        <v>3514</v>
      </c>
      <c r="N569" s="115" t="s">
        <v>66</v>
      </c>
      <c r="O569" s="181"/>
      <c r="P569" s="181"/>
      <c r="Q569" s="115">
        <v>25276.59</v>
      </c>
      <c r="R569" s="115">
        <v>875834</v>
      </c>
      <c r="S569" s="293">
        <v>445834</v>
      </c>
      <c r="T569" s="293">
        <v>430000</v>
      </c>
      <c r="U569" s="293"/>
      <c r="V569" s="293"/>
      <c r="W569" s="293"/>
      <c r="X569" s="293"/>
      <c r="Y569" s="181"/>
      <c r="Z569" s="181"/>
      <c r="AA569" s="245"/>
      <c r="AB569" s="181"/>
      <c r="AC569" s="239"/>
      <c r="AD569" s="239"/>
      <c r="AE569" s="133"/>
      <c r="AF569" s="115"/>
      <c r="AG569" s="133"/>
      <c r="AH569" s="133"/>
      <c r="AI569" s="132">
        <f t="shared" si="180"/>
        <v>445834</v>
      </c>
      <c r="AJ569" s="132">
        <f t="shared" si="181"/>
        <v>445834</v>
      </c>
      <c r="AK569" s="133">
        <f t="shared" si="182"/>
        <v>0</v>
      </c>
      <c r="AL569" s="132"/>
      <c r="AM569" s="133" t="s">
        <v>854</v>
      </c>
      <c r="AN569" s="246">
        <v>44844</v>
      </c>
    </row>
    <row r="570" customHeight="1" spans="1:40">
      <c r="A570" s="115" t="s">
        <v>5985</v>
      </c>
      <c r="B570" s="111" t="s">
        <v>5986</v>
      </c>
      <c r="C570" s="554" t="s">
        <v>5987</v>
      </c>
      <c r="D570" s="113" t="s">
        <v>5988</v>
      </c>
      <c r="E570" s="113">
        <v>18538555909</v>
      </c>
      <c r="F570" s="267">
        <v>4</v>
      </c>
      <c r="G570" s="268">
        <v>430</v>
      </c>
      <c r="H570" s="274">
        <v>19.3</v>
      </c>
      <c r="I570" s="274" t="s">
        <v>2657</v>
      </c>
      <c r="J570" s="113" t="s">
        <v>5989</v>
      </c>
      <c r="K570" s="116">
        <v>18.96</v>
      </c>
      <c r="L570" s="266" t="s">
        <v>3326</v>
      </c>
      <c r="M570" s="266" t="s">
        <v>3514</v>
      </c>
      <c r="N570" s="113" t="s">
        <v>66</v>
      </c>
      <c r="O570" s="113"/>
      <c r="P570" s="113"/>
      <c r="Q570" s="113">
        <v>25782.12</v>
      </c>
      <c r="R570" s="113">
        <v>488829</v>
      </c>
      <c r="S570" s="121">
        <v>248829</v>
      </c>
      <c r="T570" s="292">
        <f>R570-S570</f>
        <v>240000</v>
      </c>
      <c r="U570" s="113"/>
      <c r="V570" s="113"/>
      <c r="W570" s="113"/>
      <c r="X570" s="113"/>
      <c r="Y570" s="113"/>
      <c r="Z570" s="113"/>
      <c r="AA570" s="275"/>
      <c r="AB570" s="113"/>
      <c r="AC570" s="113"/>
      <c r="AD570" s="113"/>
      <c r="AE570" s="133"/>
      <c r="AF570" s="115"/>
      <c r="AG570" s="133"/>
      <c r="AH570" s="133"/>
      <c r="AI570" s="132">
        <f t="shared" si="180"/>
        <v>248829</v>
      </c>
      <c r="AJ570" s="132">
        <f t="shared" si="181"/>
        <v>248829</v>
      </c>
      <c r="AK570" s="133">
        <f t="shared" si="182"/>
        <v>0</v>
      </c>
      <c r="AL570" s="310"/>
      <c r="AM570" s="133" t="s">
        <v>974</v>
      </c>
      <c r="AN570" s="246">
        <v>44844</v>
      </c>
    </row>
    <row r="571" customHeight="1" spans="1:40">
      <c r="A571" s="115" t="s">
        <v>5990</v>
      </c>
      <c r="B571" s="115" t="s">
        <v>5991</v>
      </c>
      <c r="C571" s="155" t="s">
        <v>5992</v>
      </c>
      <c r="D571" s="291" t="s">
        <v>5993</v>
      </c>
      <c r="E571" s="156" t="s">
        <v>5994</v>
      </c>
      <c r="F571" s="115">
        <v>3</v>
      </c>
      <c r="G571" s="115">
        <v>3378</v>
      </c>
      <c r="H571" s="156">
        <v>13.6</v>
      </c>
      <c r="I571" s="115" t="s">
        <v>2657</v>
      </c>
      <c r="J571" s="181" t="s">
        <v>5995</v>
      </c>
      <c r="K571" s="156">
        <v>12.34</v>
      </c>
      <c r="L571" s="115" t="s">
        <v>4112</v>
      </c>
      <c r="M571" s="246" t="s">
        <v>3048</v>
      </c>
      <c r="N571" s="115" t="s">
        <v>66</v>
      </c>
      <c r="O571" s="181"/>
      <c r="P571" s="181"/>
      <c r="Q571" s="115">
        <v>32656.65</v>
      </c>
      <c r="R571" s="115">
        <v>402983</v>
      </c>
      <c r="S571" s="293">
        <v>202983</v>
      </c>
      <c r="T571" s="293">
        <v>200000</v>
      </c>
      <c r="U571" s="293"/>
      <c r="V571" s="293"/>
      <c r="W571" s="293"/>
      <c r="X571" s="293"/>
      <c r="Y571" s="181"/>
      <c r="Z571" s="181"/>
      <c r="AA571" s="245"/>
      <c r="AB571" s="181"/>
      <c r="AC571" s="239"/>
      <c r="AD571" s="239"/>
      <c r="AE571" s="133"/>
      <c r="AF571" s="115"/>
      <c r="AG571" s="133"/>
      <c r="AH571" s="133"/>
      <c r="AI571" s="132">
        <f t="shared" ref="AI571:AI581" si="183">S571+U571+V571+W571+X571+AC571+AD571+AE571</f>
        <v>202983</v>
      </c>
      <c r="AJ571" s="132">
        <f t="shared" ref="AJ571:AJ581" si="184">S571+U571+V571+W571+X571</f>
        <v>202983</v>
      </c>
      <c r="AK571" s="133">
        <f t="shared" ref="AK571:AK581" si="185">AI571-AJ571</f>
        <v>0</v>
      </c>
      <c r="AL571" s="132"/>
      <c r="AM571" s="133" t="s">
        <v>854</v>
      </c>
      <c r="AN571" s="246">
        <v>44844</v>
      </c>
    </row>
    <row r="572" customHeight="1" spans="1:40">
      <c r="A572" s="115" t="s">
        <v>5996</v>
      </c>
      <c r="B572" s="115" t="s">
        <v>5997</v>
      </c>
      <c r="C572" s="555" t="s">
        <v>5998</v>
      </c>
      <c r="D572" s="291" t="s">
        <v>5999</v>
      </c>
      <c r="E572" s="156" t="s">
        <v>6000</v>
      </c>
      <c r="F572" s="115">
        <v>4</v>
      </c>
      <c r="G572" s="115">
        <v>4144</v>
      </c>
      <c r="H572" s="156">
        <v>54.64</v>
      </c>
      <c r="I572" s="115" t="s">
        <v>2665</v>
      </c>
      <c r="J572" s="181" t="s">
        <v>6001</v>
      </c>
      <c r="K572" s="156">
        <v>57.18</v>
      </c>
      <c r="L572" s="115" t="s">
        <v>2711</v>
      </c>
      <c r="M572" s="246" t="s">
        <v>4028</v>
      </c>
      <c r="N572" s="115" t="s">
        <v>56</v>
      </c>
      <c r="O572" s="181"/>
      <c r="P572" s="181"/>
      <c r="Q572" s="115">
        <v>19007.4326687653</v>
      </c>
      <c r="R572" s="115">
        <v>1086845</v>
      </c>
      <c r="S572" s="293">
        <v>1086845</v>
      </c>
      <c r="T572" s="293">
        <v>0</v>
      </c>
      <c r="U572" s="293"/>
      <c r="V572" s="293"/>
      <c r="W572" s="293"/>
      <c r="X572" s="293"/>
      <c r="Y572" s="181"/>
      <c r="Z572" s="181"/>
      <c r="AA572" s="245"/>
      <c r="AB572" s="181" t="s">
        <v>6002</v>
      </c>
      <c r="AC572" s="239"/>
      <c r="AD572" s="239"/>
      <c r="AE572" s="133"/>
      <c r="AF572" s="115"/>
      <c r="AG572" s="133"/>
      <c r="AH572" s="133"/>
      <c r="AI572" s="132">
        <f t="shared" si="183"/>
        <v>1086845</v>
      </c>
      <c r="AJ572" s="132">
        <f t="shared" si="184"/>
        <v>1086845</v>
      </c>
      <c r="AK572" s="133">
        <f t="shared" si="185"/>
        <v>0</v>
      </c>
      <c r="AL572" s="132"/>
      <c r="AM572" s="133" t="s">
        <v>854</v>
      </c>
      <c r="AN572" s="246">
        <v>44844</v>
      </c>
    </row>
    <row r="573" customHeight="1" spans="1:40">
      <c r="A573" s="115" t="s">
        <v>6003</v>
      </c>
      <c r="B573" s="115" t="s">
        <v>6004</v>
      </c>
      <c r="C573" s="555" t="s">
        <v>6005</v>
      </c>
      <c r="D573" s="291" t="s">
        <v>6006</v>
      </c>
      <c r="E573" s="156">
        <v>15838257727</v>
      </c>
      <c r="F573" s="115">
        <v>1</v>
      </c>
      <c r="G573" s="115">
        <v>1252</v>
      </c>
      <c r="H573" s="156">
        <v>18.75</v>
      </c>
      <c r="I573" s="115" t="s">
        <v>2657</v>
      </c>
      <c r="J573" s="181" t="s">
        <v>6007</v>
      </c>
      <c r="K573" s="156">
        <v>18.47</v>
      </c>
      <c r="L573" s="115" t="s">
        <v>3664</v>
      </c>
      <c r="M573" s="246" t="s">
        <v>6008</v>
      </c>
      <c r="N573" s="115" t="s">
        <v>66</v>
      </c>
      <c r="O573" s="181"/>
      <c r="P573" s="181"/>
      <c r="Q573" s="115">
        <v>47240.32</v>
      </c>
      <c r="R573" s="115">
        <v>885756</v>
      </c>
      <c r="S573" s="293">
        <v>445756</v>
      </c>
      <c r="T573" s="293">
        <v>440000</v>
      </c>
      <c r="U573" s="293"/>
      <c r="V573" s="293">
        <v>1218</v>
      </c>
      <c r="W573" s="293">
        <v>550</v>
      </c>
      <c r="X573" s="293"/>
      <c r="Y573" s="181" t="s">
        <v>2669</v>
      </c>
      <c r="Z573" s="181"/>
      <c r="AA573" s="245"/>
      <c r="AB573" s="181"/>
      <c r="AC573" s="239"/>
      <c r="AD573" s="239"/>
      <c r="AE573" s="133"/>
      <c r="AF573" s="115" t="s">
        <v>2771</v>
      </c>
      <c r="AG573" s="133" t="s">
        <v>6009</v>
      </c>
      <c r="AH573" s="133"/>
      <c r="AI573" s="132">
        <f t="shared" si="183"/>
        <v>447524</v>
      </c>
      <c r="AJ573" s="132">
        <f t="shared" si="184"/>
        <v>447524</v>
      </c>
      <c r="AK573" s="133">
        <f t="shared" si="185"/>
        <v>0</v>
      </c>
      <c r="AL573" s="132"/>
      <c r="AM573" s="133" t="s">
        <v>854</v>
      </c>
      <c r="AN573" s="246">
        <v>44844</v>
      </c>
    </row>
    <row r="574" customHeight="1" spans="1:40">
      <c r="A574" s="115" t="s">
        <v>6010</v>
      </c>
      <c r="B574" s="115" t="s">
        <v>6011</v>
      </c>
      <c r="C574" s="155" t="s">
        <v>6012</v>
      </c>
      <c r="D574" s="291" t="s">
        <v>6013</v>
      </c>
      <c r="E574" s="156" t="s">
        <v>6014</v>
      </c>
      <c r="F574" s="115">
        <v>3</v>
      </c>
      <c r="G574" s="115">
        <v>3222</v>
      </c>
      <c r="H574" s="156">
        <v>22.02</v>
      </c>
      <c r="I574" s="115" t="s">
        <v>2657</v>
      </c>
      <c r="J574" s="181" t="s">
        <v>6015</v>
      </c>
      <c r="K574" s="156">
        <v>27.2</v>
      </c>
      <c r="L574" s="115" t="s">
        <v>4587</v>
      </c>
      <c r="M574" s="246" t="s">
        <v>3710</v>
      </c>
      <c r="N574" s="115" t="s">
        <v>66</v>
      </c>
      <c r="O574" s="181"/>
      <c r="P574" s="181"/>
      <c r="Q574" s="115">
        <v>31628.38</v>
      </c>
      <c r="R574" s="115">
        <v>860292</v>
      </c>
      <c r="S574" s="293">
        <v>430292</v>
      </c>
      <c r="T574" s="293">
        <v>430000</v>
      </c>
      <c r="U574" s="293"/>
      <c r="V574" s="293"/>
      <c r="W574" s="293"/>
      <c r="X574" s="293"/>
      <c r="Y574" s="181"/>
      <c r="Z574" s="181"/>
      <c r="AA574" s="245"/>
      <c r="AB574" s="181"/>
      <c r="AC574" s="239"/>
      <c r="AD574" s="239"/>
      <c r="AE574" s="133"/>
      <c r="AF574" s="115"/>
      <c r="AG574" s="133"/>
      <c r="AH574" s="133"/>
      <c r="AI574" s="132">
        <f t="shared" si="183"/>
        <v>430292</v>
      </c>
      <c r="AJ574" s="132">
        <f t="shared" si="184"/>
        <v>430292</v>
      </c>
      <c r="AK574" s="133">
        <f t="shared" si="185"/>
        <v>0</v>
      </c>
      <c r="AL574" s="132"/>
      <c r="AM574" s="133" t="s">
        <v>854</v>
      </c>
      <c r="AN574" s="246">
        <v>44844</v>
      </c>
    </row>
    <row r="575" customHeight="1" spans="1:40">
      <c r="A575" s="115" t="s">
        <v>6016</v>
      </c>
      <c r="B575" s="115" t="s">
        <v>6017</v>
      </c>
      <c r="C575" s="555" t="s">
        <v>6018</v>
      </c>
      <c r="D575" s="291" t="s">
        <v>6019</v>
      </c>
      <c r="E575" s="156">
        <v>18737459907</v>
      </c>
      <c r="F575" s="115">
        <v>1</v>
      </c>
      <c r="G575" s="115">
        <v>1171</v>
      </c>
      <c r="H575" s="156">
        <v>17.84</v>
      </c>
      <c r="I575" s="115" t="s">
        <v>2657</v>
      </c>
      <c r="J575" s="181" t="s">
        <v>6020</v>
      </c>
      <c r="K575" s="156">
        <v>19.12</v>
      </c>
      <c r="L575" s="115" t="s">
        <v>3060</v>
      </c>
      <c r="M575" s="246" t="s">
        <v>2941</v>
      </c>
      <c r="N575" s="115" t="s">
        <v>66</v>
      </c>
      <c r="O575" s="181"/>
      <c r="P575" s="181"/>
      <c r="Q575" s="115">
        <v>47648.88</v>
      </c>
      <c r="R575" s="115">
        <v>850056</v>
      </c>
      <c r="S575" s="293">
        <v>470056</v>
      </c>
      <c r="T575" s="293">
        <v>380000</v>
      </c>
      <c r="U575" s="293"/>
      <c r="V575" s="293">
        <v>1159</v>
      </c>
      <c r="W575" s="293">
        <v>550</v>
      </c>
      <c r="X575" s="293"/>
      <c r="Y575" s="181"/>
      <c r="Z575" s="181"/>
      <c r="AA575" s="245"/>
      <c r="AB575" s="181"/>
      <c r="AC575" s="239"/>
      <c r="AD575" s="239"/>
      <c r="AE575" s="133"/>
      <c r="AF575" s="115"/>
      <c r="AG575" s="133"/>
      <c r="AH575" s="133"/>
      <c r="AI575" s="132">
        <f t="shared" si="183"/>
        <v>471765</v>
      </c>
      <c r="AJ575" s="132">
        <f t="shared" si="184"/>
        <v>471765</v>
      </c>
      <c r="AK575" s="133">
        <f t="shared" si="185"/>
        <v>0</v>
      </c>
      <c r="AL575" s="132"/>
      <c r="AM575" s="133" t="s">
        <v>854</v>
      </c>
      <c r="AN575" s="246">
        <v>44844</v>
      </c>
    </row>
    <row r="576" customHeight="1" spans="1:40">
      <c r="A576" s="115" t="s">
        <v>6021</v>
      </c>
      <c r="B576" s="115" t="s">
        <v>6022</v>
      </c>
      <c r="C576" s="555" t="s">
        <v>6023</v>
      </c>
      <c r="D576" s="291" t="s">
        <v>6024</v>
      </c>
      <c r="E576" s="156">
        <v>15839018078</v>
      </c>
      <c r="F576" s="115">
        <v>4</v>
      </c>
      <c r="G576" s="115">
        <v>4241</v>
      </c>
      <c r="H576" s="156">
        <v>19.57</v>
      </c>
      <c r="I576" s="115" t="s">
        <v>2657</v>
      </c>
      <c r="J576" s="181" t="s">
        <v>6025</v>
      </c>
      <c r="K576" s="156">
        <v>16.84</v>
      </c>
      <c r="L576" s="115" t="s">
        <v>3733</v>
      </c>
      <c r="M576" s="246" t="s">
        <v>3733</v>
      </c>
      <c r="N576" s="115" t="s">
        <v>66</v>
      </c>
      <c r="O576" s="181"/>
      <c r="P576" s="181"/>
      <c r="Q576" s="115">
        <v>26305.64</v>
      </c>
      <c r="R576" s="115">
        <v>442987</v>
      </c>
      <c r="S576" s="293">
        <v>222987</v>
      </c>
      <c r="T576" s="293">
        <v>220000</v>
      </c>
      <c r="U576" s="293"/>
      <c r="V576" s="293"/>
      <c r="W576" s="293"/>
      <c r="X576" s="293"/>
      <c r="Y576" s="181"/>
      <c r="Z576" s="181"/>
      <c r="AA576" s="245"/>
      <c r="AB576" s="181"/>
      <c r="AC576" s="239"/>
      <c r="AD576" s="239"/>
      <c r="AE576" s="133"/>
      <c r="AF576" s="115"/>
      <c r="AG576" s="133"/>
      <c r="AH576" s="133"/>
      <c r="AI576" s="132">
        <f t="shared" si="183"/>
        <v>222987</v>
      </c>
      <c r="AJ576" s="132">
        <f t="shared" si="184"/>
        <v>222987</v>
      </c>
      <c r="AK576" s="133">
        <f t="shared" si="185"/>
        <v>0</v>
      </c>
      <c r="AL576" s="132"/>
      <c r="AM576" s="133" t="s">
        <v>854</v>
      </c>
      <c r="AN576" s="246">
        <v>44844</v>
      </c>
    </row>
    <row r="577" customHeight="1" spans="1:40">
      <c r="A577" s="115" t="s">
        <v>6026</v>
      </c>
      <c r="B577" s="115" t="s">
        <v>6027</v>
      </c>
      <c r="C577" s="555" t="s">
        <v>6028</v>
      </c>
      <c r="D577" s="291" t="s">
        <v>6029</v>
      </c>
      <c r="E577" s="156">
        <v>13803911035</v>
      </c>
      <c r="F577" s="115">
        <v>1</v>
      </c>
      <c r="G577" s="115">
        <v>1754</v>
      </c>
      <c r="H577" s="156">
        <v>19.04</v>
      </c>
      <c r="I577" s="115" t="s">
        <v>2657</v>
      </c>
      <c r="J577" s="181" t="s">
        <v>6030</v>
      </c>
      <c r="K577" s="156">
        <v>18.66</v>
      </c>
      <c r="L577" s="115" t="s">
        <v>2740</v>
      </c>
      <c r="M577" s="246" t="s">
        <v>6031</v>
      </c>
      <c r="N577" s="115" t="s">
        <v>66</v>
      </c>
      <c r="O577" s="181"/>
      <c r="P577" s="181"/>
      <c r="Q577" s="115">
        <v>47909.97</v>
      </c>
      <c r="R577" s="115">
        <v>894000</v>
      </c>
      <c r="S577" s="293">
        <v>454000</v>
      </c>
      <c r="T577" s="293">
        <v>440000</v>
      </c>
      <c r="U577" s="293"/>
      <c r="V577" s="293"/>
      <c r="W577" s="293"/>
      <c r="X577" s="293"/>
      <c r="Y577" s="181" t="s">
        <v>2669</v>
      </c>
      <c r="Z577" s="181"/>
      <c r="AA577" s="245"/>
      <c r="AB577" s="181"/>
      <c r="AC577" s="239"/>
      <c r="AD577" s="239"/>
      <c r="AE577" s="133"/>
      <c r="AF577" s="115" t="s">
        <v>123</v>
      </c>
      <c r="AG577" s="133" t="s">
        <v>6032</v>
      </c>
      <c r="AH577" s="133"/>
      <c r="AI577" s="132">
        <f t="shared" si="183"/>
        <v>454000</v>
      </c>
      <c r="AJ577" s="132">
        <f t="shared" si="184"/>
        <v>454000</v>
      </c>
      <c r="AK577" s="133">
        <f t="shared" si="185"/>
        <v>0</v>
      </c>
      <c r="AL577" s="132"/>
      <c r="AM577" s="133" t="s">
        <v>854</v>
      </c>
      <c r="AN577" s="246">
        <v>44844</v>
      </c>
    </row>
    <row r="578" customHeight="1" spans="1:40">
      <c r="A578" s="115" t="s">
        <v>6033</v>
      </c>
      <c r="B578" s="111" t="s">
        <v>6034</v>
      </c>
      <c r="C578" s="554" t="s">
        <v>6035</v>
      </c>
      <c r="D578" s="113" t="s">
        <v>6036</v>
      </c>
      <c r="E578" s="113">
        <v>13949099632</v>
      </c>
      <c r="F578" s="267">
        <v>2</v>
      </c>
      <c r="G578" s="268">
        <v>2127</v>
      </c>
      <c r="H578" s="274">
        <v>41.64</v>
      </c>
      <c r="I578" s="274" t="s">
        <v>2665</v>
      </c>
      <c r="J578" s="113" t="s">
        <v>6037</v>
      </c>
      <c r="K578" s="116">
        <v>38.3</v>
      </c>
      <c r="L578" s="266" t="s">
        <v>2711</v>
      </c>
      <c r="M578" s="266" t="s">
        <v>2799</v>
      </c>
      <c r="N578" s="113" t="s">
        <v>66</v>
      </c>
      <c r="O578" s="113"/>
      <c r="P578" s="113"/>
      <c r="Q578" s="113">
        <v>29961.9060052219</v>
      </c>
      <c r="R578" s="113">
        <v>1147541</v>
      </c>
      <c r="S578" s="121">
        <v>577541</v>
      </c>
      <c r="T578" s="292">
        <f t="shared" ref="T578:T585" si="186">R578-S578</f>
        <v>570000</v>
      </c>
      <c r="U578" s="113"/>
      <c r="V578" s="113"/>
      <c r="W578" s="113"/>
      <c r="X578" s="113"/>
      <c r="Y578" s="113"/>
      <c r="Z578" s="113"/>
      <c r="AA578" s="113"/>
      <c r="AB578" s="113"/>
      <c r="AC578" s="113"/>
      <c r="AD578" s="113"/>
      <c r="AE578" s="133"/>
      <c r="AF578" s="115"/>
      <c r="AG578" s="133"/>
      <c r="AH578" s="133"/>
      <c r="AI578" s="132">
        <f t="shared" si="183"/>
        <v>577541</v>
      </c>
      <c r="AJ578" s="132">
        <f t="shared" si="184"/>
        <v>577541</v>
      </c>
      <c r="AK578" s="133">
        <f t="shared" si="185"/>
        <v>0</v>
      </c>
      <c r="AL578" s="132"/>
      <c r="AM578" s="133" t="s">
        <v>886</v>
      </c>
      <c r="AN578" s="246">
        <v>44844</v>
      </c>
    </row>
    <row r="579" customHeight="1" spans="1:40">
      <c r="A579" s="115" t="s">
        <v>6038</v>
      </c>
      <c r="B579" s="111" t="s">
        <v>6039</v>
      </c>
      <c r="C579" s="554" t="s">
        <v>6040</v>
      </c>
      <c r="D579" s="113" t="s">
        <v>6041</v>
      </c>
      <c r="E579" s="113" t="s">
        <v>6042</v>
      </c>
      <c r="F579" s="267">
        <v>4</v>
      </c>
      <c r="G579" s="268">
        <v>4150</v>
      </c>
      <c r="H579" s="274">
        <v>35.15</v>
      </c>
      <c r="I579" s="274" t="s">
        <v>2665</v>
      </c>
      <c r="J579" s="113" t="s">
        <v>6043</v>
      </c>
      <c r="K579" s="116">
        <v>34.2</v>
      </c>
      <c r="L579" s="266" t="s">
        <v>2711</v>
      </c>
      <c r="M579" s="266" t="s">
        <v>3145</v>
      </c>
      <c r="N579" s="113" t="s">
        <v>66</v>
      </c>
      <c r="O579" s="113"/>
      <c r="P579" s="113"/>
      <c r="Q579" s="113">
        <v>20293.3918128655</v>
      </c>
      <c r="R579" s="113">
        <v>713313</v>
      </c>
      <c r="S579" s="121">
        <v>357313</v>
      </c>
      <c r="T579" s="292">
        <f t="shared" si="186"/>
        <v>356000</v>
      </c>
      <c r="U579" s="113"/>
      <c r="V579" s="113">
        <v>2284</v>
      </c>
      <c r="W579" s="113">
        <v>550</v>
      </c>
      <c r="X579" s="113"/>
      <c r="Y579" s="113"/>
      <c r="Z579" s="113"/>
      <c r="AA579" s="113"/>
      <c r="AB579" s="113"/>
      <c r="AC579" s="113">
        <v>1255.6</v>
      </c>
      <c r="AD579" s="113"/>
      <c r="AE579" s="133"/>
      <c r="AF579" s="115"/>
      <c r="AG579" s="133"/>
      <c r="AH579" s="133"/>
      <c r="AI579" s="132">
        <f t="shared" si="183"/>
        <v>361402.6</v>
      </c>
      <c r="AJ579" s="132">
        <f t="shared" si="184"/>
        <v>360147</v>
      </c>
      <c r="AK579" s="133">
        <f t="shared" si="185"/>
        <v>1255.59999999998</v>
      </c>
      <c r="AL579" s="132"/>
      <c r="AM579" s="133" t="s">
        <v>886</v>
      </c>
      <c r="AN579" s="246">
        <v>44844</v>
      </c>
    </row>
    <row r="580" customHeight="1" spans="1:40">
      <c r="A580" s="115" t="s">
        <v>6044</v>
      </c>
      <c r="B580" s="111" t="s">
        <v>6045</v>
      </c>
      <c r="C580" s="554" t="s">
        <v>6046</v>
      </c>
      <c r="D580" s="113" t="s">
        <v>6047</v>
      </c>
      <c r="E580" s="113">
        <v>13607648750</v>
      </c>
      <c r="F580" s="267">
        <v>1</v>
      </c>
      <c r="G580" s="268">
        <v>1277</v>
      </c>
      <c r="H580" s="274">
        <v>17.41</v>
      </c>
      <c r="I580" s="274" t="s">
        <v>2657</v>
      </c>
      <c r="J580" s="113" t="s">
        <v>6048</v>
      </c>
      <c r="K580" s="116">
        <v>15.76</v>
      </c>
      <c r="L580" s="266" t="s">
        <v>6049</v>
      </c>
      <c r="M580" s="266" t="s">
        <v>6050</v>
      </c>
      <c r="N580" s="113" t="s">
        <v>66</v>
      </c>
      <c r="O580" s="113"/>
      <c r="P580" s="113"/>
      <c r="Q580" s="113">
        <v>48223.35</v>
      </c>
      <c r="R580" s="113">
        <v>760000</v>
      </c>
      <c r="S580" s="121">
        <v>380000</v>
      </c>
      <c r="T580" s="292">
        <f t="shared" si="186"/>
        <v>380000</v>
      </c>
      <c r="U580" s="113"/>
      <c r="V580" s="113"/>
      <c r="W580" s="113"/>
      <c r="X580" s="113"/>
      <c r="Y580" s="113"/>
      <c r="Z580" s="113"/>
      <c r="AA580" s="113"/>
      <c r="AB580" s="113"/>
      <c r="AC580" s="113"/>
      <c r="AD580" s="113"/>
      <c r="AE580" s="133"/>
      <c r="AF580" s="115"/>
      <c r="AG580" s="133"/>
      <c r="AH580" s="133"/>
      <c r="AI580" s="132">
        <f t="shared" si="183"/>
        <v>380000</v>
      </c>
      <c r="AJ580" s="132">
        <f t="shared" si="184"/>
        <v>380000</v>
      </c>
      <c r="AK580" s="133">
        <f t="shared" si="185"/>
        <v>0</v>
      </c>
      <c r="AL580" s="132"/>
      <c r="AM580" s="133" t="s">
        <v>886</v>
      </c>
      <c r="AN580" s="246">
        <v>44844</v>
      </c>
    </row>
    <row r="581" customHeight="1" spans="1:40">
      <c r="A581" s="115" t="s">
        <v>6051</v>
      </c>
      <c r="B581" s="111" t="s">
        <v>6045</v>
      </c>
      <c r="C581" s="554" t="s">
        <v>6046</v>
      </c>
      <c r="D581" s="113" t="s">
        <v>6047</v>
      </c>
      <c r="E581" s="113">
        <v>13607648750</v>
      </c>
      <c r="F581" s="267">
        <v>1</v>
      </c>
      <c r="G581" s="268">
        <v>1278</v>
      </c>
      <c r="H581" s="274">
        <v>17.41</v>
      </c>
      <c r="I581" s="274" t="s">
        <v>2657</v>
      </c>
      <c r="J581" s="113" t="s">
        <v>6052</v>
      </c>
      <c r="K581" s="116">
        <v>16.81</v>
      </c>
      <c r="L581" s="266" t="s">
        <v>6049</v>
      </c>
      <c r="M581" s="266" t="s">
        <v>6050</v>
      </c>
      <c r="N581" s="113" t="s">
        <v>66</v>
      </c>
      <c r="O581" s="113"/>
      <c r="P581" s="113"/>
      <c r="Q581" s="113">
        <v>48485.6</v>
      </c>
      <c r="R581" s="113">
        <v>810000</v>
      </c>
      <c r="S581" s="121">
        <v>410000</v>
      </c>
      <c r="T581" s="292">
        <f t="shared" si="186"/>
        <v>400000</v>
      </c>
      <c r="U581" s="113"/>
      <c r="V581" s="113"/>
      <c r="W581" s="113"/>
      <c r="X581" s="113"/>
      <c r="Y581" s="113"/>
      <c r="Z581" s="113"/>
      <c r="AA581" s="113"/>
      <c r="AB581" s="113"/>
      <c r="AC581" s="113"/>
      <c r="AD581" s="113"/>
      <c r="AE581" s="133"/>
      <c r="AF581" s="115"/>
      <c r="AG581" s="133"/>
      <c r="AH581" s="133"/>
      <c r="AI581" s="132">
        <f t="shared" si="183"/>
        <v>410000</v>
      </c>
      <c r="AJ581" s="132">
        <f t="shared" si="184"/>
        <v>410000</v>
      </c>
      <c r="AK581" s="133">
        <f t="shared" si="185"/>
        <v>0</v>
      </c>
      <c r="AL581" s="132"/>
      <c r="AM581" s="133" t="s">
        <v>886</v>
      </c>
      <c r="AN581" s="246">
        <v>44844</v>
      </c>
    </row>
    <row r="582" customHeight="1" spans="1:40">
      <c r="A582" s="115" t="s">
        <v>6053</v>
      </c>
      <c r="B582" s="111" t="s">
        <v>6054</v>
      </c>
      <c r="C582" s="111" t="s">
        <v>6055</v>
      </c>
      <c r="D582" s="113" t="s">
        <v>6056</v>
      </c>
      <c r="E582" s="113">
        <v>13837580132</v>
      </c>
      <c r="F582" s="267">
        <v>3</v>
      </c>
      <c r="G582" s="268">
        <v>3211</v>
      </c>
      <c r="H582" s="274">
        <v>26.25</v>
      </c>
      <c r="I582" s="274" t="s">
        <v>2657</v>
      </c>
      <c r="J582" s="113" t="s">
        <v>6057</v>
      </c>
      <c r="K582" s="116">
        <v>17.59</v>
      </c>
      <c r="L582" s="266" t="s">
        <v>4670</v>
      </c>
      <c r="M582" s="266" t="s">
        <v>5819</v>
      </c>
      <c r="N582" s="113" t="s">
        <v>66</v>
      </c>
      <c r="O582" s="113"/>
      <c r="P582" s="113"/>
      <c r="Q582" s="113">
        <v>32007.22</v>
      </c>
      <c r="R582" s="113">
        <v>563007</v>
      </c>
      <c r="S582" s="121">
        <v>283007</v>
      </c>
      <c r="T582" s="292">
        <f t="shared" si="186"/>
        <v>280000</v>
      </c>
      <c r="U582" s="113"/>
      <c r="V582" s="113"/>
      <c r="W582" s="113"/>
      <c r="X582" s="113"/>
      <c r="Y582" s="113"/>
      <c r="Z582" s="113"/>
      <c r="AA582" s="113"/>
      <c r="AB582" s="113"/>
      <c r="AC582" s="113"/>
      <c r="AD582" s="113"/>
      <c r="AE582" s="133"/>
      <c r="AF582" s="115"/>
      <c r="AG582" s="133"/>
      <c r="AH582" s="133"/>
      <c r="AI582" s="132">
        <f t="shared" ref="AI582:AI591" si="187">S582+U582+V582+W582+X582+AC582+AD582+AE582</f>
        <v>283007</v>
      </c>
      <c r="AJ582" s="132">
        <f t="shared" ref="AJ582:AJ591" si="188">S582+U582+V582+W582+X582</f>
        <v>283007</v>
      </c>
      <c r="AK582" s="133">
        <f t="shared" ref="AK582:AK591" si="189">AI582-AJ582</f>
        <v>0</v>
      </c>
      <c r="AL582" s="310" t="s">
        <v>6058</v>
      </c>
      <c r="AM582" s="133" t="s">
        <v>886</v>
      </c>
      <c r="AN582" s="246">
        <v>44844</v>
      </c>
    </row>
    <row r="583" customHeight="1" spans="1:40">
      <c r="A583" s="115" t="s">
        <v>6059</v>
      </c>
      <c r="B583" s="111" t="s">
        <v>6060</v>
      </c>
      <c r="C583" s="554" t="s">
        <v>6061</v>
      </c>
      <c r="D583" s="113" t="s">
        <v>6062</v>
      </c>
      <c r="E583" s="113">
        <v>18939229388</v>
      </c>
      <c r="F583" s="267">
        <v>1</v>
      </c>
      <c r="G583" s="268">
        <v>1747</v>
      </c>
      <c r="H583" s="274">
        <v>16.5</v>
      </c>
      <c r="I583" s="274" t="s">
        <v>2657</v>
      </c>
      <c r="J583" s="113" t="s">
        <v>6063</v>
      </c>
      <c r="K583" s="116">
        <v>18.47</v>
      </c>
      <c r="L583" s="266" t="s">
        <v>3362</v>
      </c>
      <c r="M583" s="266" t="s">
        <v>4709</v>
      </c>
      <c r="N583" s="113" t="s">
        <v>56</v>
      </c>
      <c r="O583" s="113"/>
      <c r="P583" s="113"/>
      <c r="Q583" s="113">
        <v>46957.99</v>
      </c>
      <c r="R583" s="113">
        <v>774807</v>
      </c>
      <c r="S583" s="121">
        <v>774807</v>
      </c>
      <c r="T583" s="292">
        <f t="shared" si="186"/>
        <v>0</v>
      </c>
      <c r="U583" s="113"/>
      <c r="V583" s="113">
        <v>1072</v>
      </c>
      <c r="W583" s="113">
        <v>550</v>
      </c>
      <c r="X583" s="113"/>
      <c r="Y583" s="113"/>
      <c r="Z583" s="113"/>
      <c r="AA583" s="113"/>
      <c r="AB583" s="113"/>
      <c r="AC583" s="113"/>
      <c r="AD583" s="113"/>
      <c r="AE583" s="133"/>
      <c r="AF583" s="115"/>
      <c r="AG583" s="133"/>
      <c r="AH583" s="133"/>
      <c r="AI583" s="132">
        <f t="shared" si="187"/>
        <v>776429</v>
      </c>
      <c r="AJ583" s="132">
        <f t="shared" si="188"/>
        <v>776429</v>
      </c>
      <c r="AK583" s="133">
        <f t="shared" si="189"/>
        <v>0</v>
      </c>
      <c r="AL583" s="310"/>
      <c r="AM583" s="133" t="s">
        <v>886</v>
      </c>
      <c r="AN583" s="246">
        <v>44844</v>
      </c>
    </row>
    <row r="584" customHeight="1" spans="1:40">
      <c r="A584" s="115" t="s">
        <v>6064</v>
      </c>
      <c r="B584" s="111" t="s">
        <v>1155</v>
      </c>
      <c r="C584" s="111" t="s">
        <v>1156</v>
      </c>
      <c r="D584" s="113" t="s">
        <v>6065</v>
      </c>
      <c r="E584" s="113">
        <v>13523081735</v>
      </c>
      <c r="F584" s="267">
        <v>3</v>
      </c>
      <c r="G584" s="268">
        <v>3704</v>
      </c>
      <c r="H584" s="274">
        <v>11.44</v>
      </c>
      <c r="I584" s="274" t="s">
        <v>2657</v>
      </c>
      <c r="J584" s="113" t="s">
        <v>6066</v>
      </c>
      <c r="K584" s="116">
        <v>11.15</v>
      </c>
      <c r="L584" s="266" t="s">
        <v>2746</v>
      </c>
      <c r="M584" s="266" t="s">
        <v>3001</v>
      </c>
      <c r="N584" s="113" t="s">
        <v>66</v>
      </c>
      <c r="O584" s="113"/>
      <c r="P584" s="113"/>
      <c r="Q584" s="113">
        <v>32397.22</v>
      </c>
      <c r="R584" s="113">
        <v>361229</v>
      </c>
      <c r="S584" s="121">
        <v>181229</v>
      </c>
      <c r="T584" s="292">
        <f t="shared" si="186"/>
        <v>180000</v>
      </c>
      <c r="U584" s="113"/>
      <c r="V584" s="113"/>
      <c r="W584" s="113"/>
      <c r="X584" s="113"/>
      <c r="Y584" s="113"/>
      <c r="Z584" s="113"/>
      <c r="AA584" s="113"/>
      <c r="AB584" s="113"/>
      <c r="AC584" s="113"/>
      <c r="AD584" s="113"/>
      <c r="AE584" s="133"/>
      <c r="AF584" s="115"/>
      <c r="AG584" s="133"/>
      <c r="AH584" s="133"/>
      <c r="AI584" s="132">
        <f t="shared" si="187"/>
        <v>181229</v>
      </c>
      <c r="AJ584" s="132">
        <f t="shared" si="188"/>
        <v>181229</v>
      </c>
      <c r="AK584" s="133">
        <f t="shared" si="189"/>
        <v>0</v>
      </c>
      <c r="AL584" s="310"/>
      <c r="AM584" s="133" t="s">
        <v>886</v>
      </c>
      <c r="AN584" s="246">
        <v>44844</v>
      </c>
    </row>
    <row r="585" customHeight="1" spans="1:40">
      <c r="A585" s="115" t="s">
        <v>6067</v>
      </c>
      <c r="B585" s="111" t="s">
        <v>6068</v>
      </c>
      <c r="C585" s="111" t="s">
        <v>6069</v>
      </c>
      <c r="D585" s="113" t="s">
        <v>6070</v>
      </c>
      <c r="E585" s="113">
        <v>13526504116</v>
      </c>
      <c r="F585" s="267">
        <v>3</v>
      </c>
      <c r="G585" s="268">
        <v>3726</v>
      </c>
      <c r="H585" s="274">
        <v>14.17</v>
      </c>
      <c r="I585" s="274" t="s">
        <v>2657</v>
      </c>
      <c r="J585" s="113" t="s">
        <v>6071</v>
      </c>
      <c r="K585" s="116">
        <v>12.82</v>
      </c>
      <c r="L585" s="266" t="s">
        <v>3793</v>
      </c>
      <c r="M585" s="266" t="s">
        <v>3258</v>
      </c>
      <c r="N585" s="113" t="s">
        <v>66</v>
      </c>
      <c r="O585" s="113"/>
      <c r="P585" s="113"/>
      <c r="Q585" s="113">
        <v>31955.3</v>
      </c>
      <c r="R585" s="113">
        <v>409667</v>
      </c>
      <c r="S585" s="121">
        <v>209667</v>
      </c>
      <c r="T585" s="292">
        <f t="shared" si="186"/>
        <v>200000</v>
      </c>
      <c r="U585" s="113"/>
      <c r="V585" s="113"/>
      <c r="W585" s="113"/>
      <c r="X585" s="113"/>
      <c r="Y585" s="113"/>
      <c r="Z585" s="113"/>
      <c r="AA585" s="113"/>
      <c r="AB585" s="113"/>
      <c r="AC585" s="113"/>
      <c r="AD585" s="113"/>
      <c r="AE585" s="133"/>
      <c r="AF585" s="115"/>
      <c r="AG585" s="133"/>
      <c r="AH585" s="133"/>
      <c r="AI585" s="132">
        <f t="shared" si="187"/>
        <v>209667</v>
      </c>
      <c r="AJ585" s="132">
        <f t="shared" si="188"/>
        <v>209667</v>
      </c>
      <c r="AK585" s="133">
        <f t="shared" si="189"/>
        <v>0</v>
      </c>
      <c r="AL585" s="310"/>
      <c r="AM585" s="133" t="s">
        <v>886</v>
      </c>
      <c r="AN585" s="246">
        <v>44844</v>
      </c>
    </row>
    <row r="586" customHeight="1" spans="1:40">
      <c r="A586" s="115" t="s">
        <v>6072</v>
      </c>
      <c r="B586" s="115" t="s">
        <v>6073</v>
      </c>
      <c r="C586" s="555" t="s">
        <v>6074</v>
      </c>
      <c r="D586" s="291" t="s">
        <v>6075</v>
      </c>
      <c r="E586" s="156">
        <v>18239998654</v>
      </c>
      <c r="F586" s="115">
        <v>4</v>
      </c>
      <c r="G586" s="115">
        <v>472</v>
      </c>
      <c r="H586" s="156">
        <v>17.07</v>
      </c>
      <c r="I586" s="115" t="s">
        <v>2657</v>
      </c>
      <c r="J586" s="181" t="s">
        <v>6076</v>
      </c>
      <c r="K586" s="156">
        <v>16.61</v>
      </c>
      <c r="L586" s="115" t="s">
        <v>3739</v>
      </c>
      <c r="M586" s="246" t="s">
        <v>4484</v>
      </c>
      <c r="N586" s="115" t="s">
        <v>66</v>
      </c>
      <c r="O586" s="181"/>
      <c r="P586" s="181"/>
      <c r="Q586" s="115">
        <v>26034.92</v>
      </c>
      <c r="R586" s="115">
        <v>432440</v>
      </c>
      <c r="S586" s="293">
        <v>222440</v>
      </c>
      <c r="T586" s="293">
        <v>210000</v>
      </c>
      <c r="U586" s="293"/>
      <c r="V586" s="293"/>
      <c r="W586" s="293"/>
      <c r="X586" s="293"/>
      <c r="Y586" s="181"/>
      <c r="Z586" s="181"/>
      <c r="AA586" s="245"/>
      <c r="AB586" s="181"/>
      <c r="AC586" s="239"/>
      <c r="AD586" s="239"/>
      <c r="AE586" s="133"/>
      <c r="AF586" s="115"/>
      <c r="AG586" s="133"/>
      <c r="AH586" s="133"/>
      <c r="AI586" s="132">
        <f t="shared" si="187"/>
        <v>222440</v>
      </c>
      <c r="AJ586" s="132">
        <f t="shared" si="188"/>
        <v>222440</v>
      </c>
      <c r="AK586" s="133">
        <f t="shared" si="189"/>
        <v>0</v>
      </c>
      <c r="AL586" s="132"/>
      <c r="AM586" s="133" t="s">
        <v>854</v>
      </c>
      <c r="AN586" s="246">
        <v>44844</v>
      </c>
    </row>
    <row r="587" customHeight="1" spans="1:40">
      <c r="A587" s="115" t="s">
        <v>6077</v>
      </c>
      <c r="B587" s="115" t="s">
        <v>6078</v>
      </c>
      <c r="C587" s="555" t="s">
        <v>6079</v>
      </c>
      <c r="D587" s="291" t="s">
        <v>6080</v>
      </c>
      <c r="E587" s="156">
        <v>18238900023</v>
      </c>
      <c r="F587" s="115">
        <v>4</v>
      </c>
      <c r="G587" s="115">
        <v>462</v>
      </c>
      <c r="H587" s="156">
        <v>16.22</v>
      </c>
      <c r="I587" s="115" t="s">
        <v>2657</v>
      </c>
      <c r="J587" s="181" t="s">
        <v>6081</v>
      </c>
      <c r="K587" s="156">
        <v>15.32</v>
      </c>
      <c r="L587" s="115" t="s">
        <v>3577</v>
      </c>
      <c r="M587" s="246" t="s">
        <v>2763</v>
      </c>
      <c r="N587" s="115" t="s">
        <v>66</v>
      </c>
      <c r="O587" s="181"/>
      <c r="P587" s="181"/>
      <c r="Q587" s="115">
        <v>24351.54</v>
      </c>
      <c r="R587" s="115">
        <v>394982</v>
      </c>
      <c r="S587" s="293">
        <v>204982</v>
      </c>
      <c r="T587" s="293">
        <v>190000</v>
      </c>
      <c r="U587" s="293"/>
      <c r="V587" s="293">
        <v>1054</v>
      </c>
      <c r="W587" s="293">
        <v>550</v>
      </c>
      <c r="X587" s="293"/>
      <c r="Y587" s="181" t="s">
        <v>2669</v>
      </c>
      <c r="Z587" s="181"/>
      <c r="AA587" s="245"/>
      <c r="AB587" s="181"/>
      <c r="AC587" s="239">
        <v>1239</v>
      </c>
      <c r="AD587" s="239"/>
      <c r="AE587" s="133"/>
      <c r="AF587" s="115"/>
      <c r="AG587" s="133"/>
      <c r="AH587" s="133"/>
      <c r="AI587" s="132">
        <f t="shared" ref="AI587:AI600" si="190">S587+U587+V587+W587+X587+AC587+AD587+AE587</f>
        <v>207825</v>
      </c>
      <c r="AJ587" s="132">
        <f t="shared" ref="AJ587:AJ600" si="191">S587+U587+V587+W587+X587</f>
        <v>206586</v>
      </c>
      <c r="AK587" s="133">
        <f t="shared" ref="AK587:AK600" si="192">AI587-AJ587</f>
        <v>1239</v>
      </c>
      <c r="AL587" s="132"/>
      <c r="AM587" s="133" t="s">
        <v>854</v>
      </c>
      <c r="AN587" s="246">
        <v>44844</v>
      </c>
    </row>
    <row r="588" customHeight="1" spans="1:40">
      <c r="A588" s="115" t="s">
        <v>6082</v>
      </c>
      <c r="B588" s="115" t="s">
        <v>6083</v>
      </c>
      <c r="C588" s="555" t="s">
        <v>6084</v>
      </c>
      <c r="D588" s="291" t="s">
        <v>6085</v>
      </c>
      <c r="E588" s="156">
        <v>15393719085</v>
      </c>
      <c r="F588" s="115">
        <v>4</v>
      </c>
      <c r="G588" s="115">
        <v>4223</v>
      </c>
      <c r="H588" s="156">
        <v>19.99</v>
      </c>
      <c r="I588" s="115" t="s">
        <v>2657</v>
      </c>
      <c r="J588" s="181" t="s">
        <v>6086</v>
      </c>
      <c r="K588" s="156">
        <v>16.72</v>
      </c>
      <c r="L588" s="115" t="s">
        <v>3355</v>
      </c>
      <c r="M588" s="246" t="s">
        <v>3963</v>
      </c>
      <c r="N588" s="115" t="s">
        <v>66</v>
      </c>
      <c r="O588" s="181"/>
      <c r="P588" s="181"/>
      <c r="Q588" s="115">
        <v>26034.87</v>
      </c>
      <c r="R588" s="115">
        <v>435303</v>
      </c>
      <c r="S588" s="293">
        <v>225303</v>
      </c>
      <c r="T588" s="293">
        <v>210000</v>
      </c>
      <c r="U588" s="293"/>
      <c r="V588" s="293"/>
      <c r="W588" s="293"/>
      <c r="X588" s="293"/>
      <c r="Y588" s="181"/>
      <c r="Z588" s="181"/>
      <c r="AA588" s="245"/>
      <c r="AB588" s="181"/>
      <c r="AC588" s="239"/>
      <c r="AD588" s="239"/>
      <c r="AE588" s="133"/>
      <c r="AF588" s="115"/>
      <c r="AG588" s="133"/>
      <c r="AH588" s="133"/>
      <c r="AI588" s="132">
        <f t="shared" si="190"/>
        <v>225303</v>
      </c>
      <c r="AJ588" s="132">
        <f t="shared" si="191"/>
        <v>225303</v>
      </c>
      <c r="AK588" s="133">
        <f t="shared" si="192"/>
        <v>0</v>
      </c>
      <c r="AL588" s="132"/>
      <c r="AM588" s="133" t="s">
        <v>854</v>
      </c>
      <c r="AN588" s="246">
        <v>44844</v>
      </c>
    </row>
    <row r="589" customHeight="1" spans="1:40">
      <c r="A589" s="115" t="s">
        <v>6087</v>
      </c>
      <c r="B589" s="115" t="s">
        <v>6088</v>
      </c>
      <c r="C589" s="155" t="s">
        <v>6089</v>
      </c>
      <c r="D589" s="291" t="s">
        <v>6090</v>
      </c>
      <c r="E589" s="156">
        <v>15093311651</v>
      </c>
      <c r="F589" s="115">
        <v>3</v>
      </c>
      <c r="G589" s="115">
        <v>3707</v>
      </c>
      <c r="H589" s="156">
        <v>10.02</v>
      </c>
      <c r="I589" s="115" t="s">
        <v>2657</v>
      </c>
      <c r="J589" s="181" t="s">
        <v>6091</v>
      </c>
      <c r="K589" s="156">
        <v>9.29</v>
      </c>
      <c r="L589" s="115" t="s">
        <v>2692</v>
      </c>
      <c r="M589" s="246" t="s">
        <v>3653</v>
      </c>
      <c r="N589" s="115" t="s">
        <v>66</v>
      </c>
      <c r="O589" s="181"/>
      <c r="P589" s="181"/>
      <c r="Q589" s="115">
        <v>33081.27</v>
      </c>
      <c r="R589" s="115">
        <v>331474</v>
      </c>
      <c r="S589" s="293">
        <v>171474</v>
      </c>
      <c r="T589" s="293">
        <v>160000</v>
      </c>
      <c r="U589" s="293"/>
      <c r="V589" s="293">
        <v>651</v>
      </c>
      <c r="W589" s="293">
        <v>550</v>
      </c>
      <c r="X589" s="293"/>
      <c r="Y589" s="181" t="s">
        <v>2669</v>
      </c>
      <c r="Z589" s="181"/>
      <c r="AA589" s="245"/>
      <c r="AB589" s="181"/>
      <c r="AC589" s="239">
        <v>1236</v>
      </c>
      <c r="AD589" s="239"/>
      <c r="AE589" s="133"/>
      <c r="AF589" s="115"/>
      <c r="AG589" s="133"/>
      <c r="AH589" s="133"/>
      <c r="AI589" s="132">
        <f t="shared" si="190"/>
        <v>173911</v>
      </c>
      <c r="AJ589" s="132">
        <f t="shared" si="191"/>
        <v>172675</v>
      </c>
      <c r="AK589" s="133">
        <f t="shared" si="192"/>
        <v>1236</v>
      </c>
      <c r="AL589" s="132"/>
      <c r="AM589" s="133" t="s">
        <v>854</v>
      </c>
      <c r="AN589" s="246">
        <v>44844</v>
      </c>
    </row>
    <row r="590" customHeight="1" spans="1:40">
      <c r="A590" s="115" t="s">
        <v>6092</v>
      </c>
      <c r="B590" s="111" t="s">
        <v>6093</v>
      </c>
      <c r="C590" s="111" t="s">
        <v>6094</v>
      </c>
      <c r="D590" s="113" t="s">
        <v>6095</v>
      </c>
      <c r="E590" s="113">
        <v>18926476072</v>
      </c>
      <c r="F590" s="267">
        <v>3</v>
      </c>
      <c r="G590" s="268">
        <v>3700</v>
      </c>
      <c r="H590" s="274">
        <v>19.47</v>
      </c>
      <c r="I590" s="274" t="s">
        <v>2657</v>
      </c>
      <c r="J590" s="113" t="s">
        <v>6096</v>
      </c>
      <c r="K590" s="116">
        <v>16.78</v>
      </c>
      <c r="L590" s="266" t="s">
        <v>4587</v>
      </c>
      <c r="M590" s="266" t="s">
        <v>3710</v>
      </c>
      <c r="N590" s="113" t="s">
        <v>56</v>
      </c>
      <c r="O590" s="113"/>
      <c r="P590" s="113"/>
      <c r="Q590" s="113">
        <v>31133.02</v>
      </c>
      <c r="R590" s="113">
        <v>522412</v>
      </c>
      <c r="S590" s="121">
        <v>522412</v>
      </c>
      <c r="T590" s="292">
        <f>R590-S590</f>
        <v>0</v>
      </c>
      <c r="U590" s="113"/>
      <c r="V590" s="113"/>
      <c r="W590" s="113"/>
      <c r="X590" s="113"/>
      <c r="Y590" s="113"/>
      <c r="Z590" s="113"/>
      <c r="AA590" s="275"/>
      <c r="AB590" s="113" t="s">
        <v>6097</v>
      </c>
      <c r="AC590" s="113"/>
      <c r="AD590" s="113"/>
      <c r="AE590" s="133"/>
      <c r="AF590" s="115"/>
      <c r="AG590" s="133"/>
      <c r="AH590" s="133"/>
      <c r="AI590" s="132">
        <f t="shared" si="190"/>
        <v>522412</v>
      </c>
      <c r="AJ590" s="132">
        <f t="shared" si="191"/>
        <v>522412</v>
      </c>
      <c r="AK590" s="133">
        <f t="shared" si="192"/>
        <v>0</v>
      </c>
      <c r="AL590" s="310"/>
      <c r="AM590" s="133" t="s">
        <v>974</v>
      </c>
      <c r="AN590" s="246">
        <v>44844</v>
      </c>
    </row>
    <row r="591" customHeight="1" spans="1:40">
      <c r="A591" s="297" t="s">
        <v>6098</v>
      </c>
      <c r="B591" s="311" t="s">
        <v>6099</v>
      </c>
      <c r="C591" s="311" t="s">
        <v>6100</v>
      </c>
      <c r="D591" s="312" t="s">
        <v>6101</v>
      </c>
      <c r="E591" s="312">
        <v>15617744777</v>
      </c>
      <c r="F591" s="313">
        <v>3</v>
      </c>
      <c r="G591" s="314">
        <v>3609</v>
      </c>
      <c r="H591" s="315">
        <v>25.06</v>
      </c>
      <c r="I591" s="315" t="s">
        <v>2657</v>
      </c>
      <c r="J591" s="312" t="s">
        <v>6102</v>
      </c>
      <c r="K591" s="316">
        <v>23.4</v>
      </c>
      <c r="L591" s="317" t="s">
        <v>2961</v>
      </c>
      <c r="M591" s="317" t="s">
        <v>4328</v>
      </c>
      <c r="N591" s="312" t="s">
        <v>66</v>
      </c>
      <c r="O591" s="312"/>
      <c r="P591" s="312"/>
      <c r="Q591" s="312">
        <v>31468.08</v>
      </c>
      <c r="R591" s="312">
        <v>788590</v>
      </c>
      <c r="S591" s="318">
        <v>398590</v>
      </c>
      <c r="T591" s="319"/>
      <c r="U591" s="312">
        <v>390000</v>
      </c>
      <c r="V591" s="312">
        <v>1628</v>
      </c>
      <c r="W591" s="312">
        <v>550</v>
      </c>
      <c r="X591" s="312"/>
      <c r="Y591" s="312" t="s">
        <v>2669</v>
      </c>
      <c r="Z591" s="312" t="s">
        <v>48</v>
      </c>
      <c r="AA591" s="320">
        <v>44019</v>
      </c>
      <c r="AB591" s="312"/>
      <c r="AC591" s="312"/>
      <c r="AD591" s="312"/>
      <c r="AE591" s="308"/>
      <c r="AF591" s="297"/>
      <c r="AG591" s="308"/>
      <c r="AH591" s="308"/>
      <c r="AI591" s="132">
        <f t="shared" si="190"/>
        <v>790768</v>
      </c>
      <c r="AJ591" s="132">
        <f t="shared" si="191"/>
        <v>790768</v>
      </c>
      <c r="AK591" s="133">
        <f t="shared" si="192"/>
        <v>0</v>
      </c>
      <c r="AL591" s="324"/>
      <c r="AM591" s="308" t="s">
        <v>974</v>
      </c>
      <c r="AN591" s="302">
        <v>44844</v>
      </c>
    </row>
    <row r="592" customHeight="1" spans="1:40">
      <c r="A592" s="115" t="s">
        <v>6103</v>
      </c>
      <c r="B592" s="111" t="s">
        <v>6099</v>
      </c>
      <c r="C592" s="111" t="s">
        <v>6100</v>
      </c>
      <c r="D592" s="113" t="s">
        <v>6101</v>
      </c>
      <c r="E592" s="113">
        <v>15617744777</v>
      </c>
      <c r="F592" s="267">
        <v>3</v>
      </c>
      <c r="G592" s="268">
        <v>3610</v>
      </c>
      <c r="H592" s="274">
        <v>24.42</v>
      </c>
      <c r="I592" s="274" t="s">
        <v>2657</v>
      </c>
      <c r="J592" s="113" t="s">
        <v>6104</v>
      </c>
      <c r="K592" s="116">
        <v>20.95</v>
      </c>
      <c r="L592" s="266" t="s">
        <v>2961</v>
      </c>
      <c r="M592" s="266" t="s">
        <v>4328</v>
      </c>
      <c r="N592" s="113" t="s">
        <v>66</v>
      </c>
      <c r="O592" s="113"/>
      <c r="P592" s="113"/>
      <c r="Q592" s="113">
        <v>31468.07</v>
      </c>
      <c r="R592" s="113">
        <v>768450</v>
      </c>
      <c r="S592" s="121">
        <v>388450</v>
      </c>
      <c r="T592" s="292"/>
      <c r="U592" s="113">
        <v>380000</v>
      </c>
      <c r="V592" s="113">
        <v>1587</v>
      </c>
      <c r="W592" s="113">
        <v>550</v>
      </c>
      <c r="X592" s="113"/>
      <c r="Y592" s="113" t="s">
        <v>2669</v>
      </c>
      <c r="Z592" s="113" t="s">
        <v>48</v>
      </c>
      <c r="AA592" s="275">
        <v>44019</v>
      </c>
      <c r="AB592" s="113"/>
      <c r="AC592" s="113"/>
      <c r="AD592" s="113"/>
      <c r="AE592" s="133"/>
      <c r="AF592" s="115"/>
      <c r="AG592" s="133"/>
      <c r="AH592" s="133"/>
      <c r="AI592" s="132">
        <f t="shared" si="190"/>
        <v>770587</v>
      </c>
      <c r="AJ592" s="132">
        <f t="shared" si="191"/>
        <v>770587</v>
      </c>
      <c r="AK592" s="133">
        <f t="shared" si="192"/>
        <v>0</v>
      </c>
      <c r="AL592" s="310"/>
      <c r="AM592" s="133" t="s">
        <v>974</v>
      </c>
      <c r="AN592" s="246">
        <v>44844</v>
      </c>
    </row>
    <row r="593" customHeight="1" spans="1:40">
      <c r="A593" s="115" t="s">
        <v>6105</v>
      </c>
      <c r="B593" s="111" t="s">
        <v>6106</v>
      </c>
      <c r="C593" s="554" t="s">
        <v>6107</v>
      </c>
      <c r="D593" s="113"/>
      <c r="E593" s="113">
        <v>18808201783</v>
      </c>
      <c r="F593" s="267">
        <v>4</v>
      </c>
      <c r="G593" s="268">
        <v>4466</v>
      </c>
      <c r="H593" s="274">
        <v>10.02</v>
      </c>
      <c r="I593" s="274" t="s">
        <v>2657</v>
      </c>
      <c r="J593" s="113" t="s">
        <v>6108</v>
      </c>
      <c r="K593" s="116">
        <v>8.28</v>
      </c>
      <c r="L593" s="266" t="s">
        <v>5737</v>
      </c>
      <c r="M593" s="266" t="s">
        <v>5737</v>
      </c>
      <c r="N593" s="113" t="s">
        <v>56</v>
      </c>
      <c r="O593" s="113"/>
      <c r="P593" s="113"/>
      <c r="Q593" s="113">
        <v>27118.72</v>
      </c>
      <c r="R593" s="113">
        <v>224543</v>
      </c>
      <c r="S593" s="121">
        <v>224543</v>
      </c>
      <c r="T593" s="292">
        <f t="shared" ref="T593:T598" si="193">R593-S593</f>
        <v>0</v>
      </c>
      <c r="U593" s="113"/>
      <c r="V593" s="113"/>
      <c r="W593" s="113"/>
      <c r="X593" s="113"/>
      <c r="Y593" s="113"/>
      <c r="Z593" s="113"/>
      <c r="AA593" s="275"/>
      <c r="AB593" s="113"/>
      <c r="AC593" s="113"/>
      <c r="AD593" s="113"/>
      <c r="AE593" s="133"/>
      <c r="AF593" s="115"/>
      <c r="AG593" s="133"/>
      <c r="AH593" s="133"/>
      <c r="AI593" s="132">
        <f t="shared" si="190"/>
        <v>224543</v>
      </c>
      <c r="AJ593" s="132">
        <f t="shared" si="191"/>
        <v>224543</v>
      </c>
      <c r="AK593" s="133">
        <f t="shared" si="192"/>
        <v>0</v>
      </c>
      <c r="AL593" s="310"/>
      <c r="AM593" s="133" t="s">
        <v>974</v>
      </c>
      <c r="AN593" s="246">
        <v>44844</v>
      </c>
    </row>
    <row r="594" customHeight="1" spans="1:40">
      <c r="A594" s="115" t="s">
        <v>6109</v>
      </c>
      <c r="B594" s="111" t="s">
        <v>6110</v>
      </c>
      <c r="C594" s="554" t="s">
        <v>6111</v>
      </c>
      <c r="D594" s="113" t="s">
        <v>6112</v>
      </c>
      <c r="E594" s="113">
        <v>17639841917</v>
      </c>
      <c r="F594" s="267">
        <v>4</v>
      </c>
      <c r="G594" s="268">
        <v>4381</v>
      </c>
      <c r="H594" s="274">
        <v>18.1</v>
      </c>
      <c r="I594" s="274" t="s">
        <v>2657</v>
      </c>
      <c r="J594" s="113" t="s">
        <v>6113</v>
      </c>
      <c r="K594" s="116">
        <v>15.15</v>
      </c>
      <c r="L594" s="266" t="s">
        <v>6114</v>
      </c>
      <c r="M594" s="266" t="s">
        <v>2989</v>
      </c>
      <c r="N594" s="113" t="s">
        <v>66</v>
      </c>
      <c r="O594" s="113"/>
      <c r="P594" s="113"/>
      <c r="Q594" s="113">
        <v>27171.82</v>
      </c>
      <c r="R594" s="113">
        <v>411653</v>
      </c>
      <c r="S594" s="121">
        <v>211653</v>
      </c>
      <c r="T594" s="292">
        <f t="shared" si="193"/>
        <v>200000</v>
      </c>
      <c r="U594" s="113"/>
      <c r="V594" s="113"/>
      <c r="W594" s="113"/>
      <c r="X594" s="113"/>
      <c r="Y594" s="113"/>
      <c r="Z594" s="113"/>
      <c r="AA594" s="275"/>
      <c r="AB594" s="113" t="s">
        <v>6115</v>
      </c>
      <c r="AC594" s="113"/>
      <c r="AD594" s="113"/>
      <c r="AE594" s="133"/>
      <c r="AF594" s="115"/>
      <c r="AG594" s="133"/>
      <c r="AH594" s="133"/>
      <c r="AI594" s="132">
        <f t="shared" si="190"/>
        <v>211653</v>
      </c>
      <c r="AJ594" s="132">
        <f t="shared" si="191"/>
        <v>211653</v>
      </c>
      <c r="AK594" s="133">
        <f t="shared" si="192"/>
        <v>0</v>
      </c>
      <c r="AL594" s="115"/>
      <c r="AM594" s="133" t="s">
        <v>974</v>
      </c>
      <c r="AN594" s="246">
        <v>44844</v>
      </c>
    </row>
    <row r="595" customHeight="1" spans="1:40">
      <c r="A595" s="115" t="s">
        <v>6116</v>
      </c>
      <c r="B595" s="111" t="s">
        <v>6117</v>
      </c>
      <c r="C595" s="554" t="s">
        <v>6118</v>
      </c>
      <c r="D595" s="113" t="s">
        <v>6119</v>
      </c>
      <c r="E595" s="113">
        <v>15638267331</v>
      </c>
      <c r="F595" s="267">
        <v>4</v>
      </c>
      <c r="G595" s="268">
        <v>4154</v>
      </c>
      <c r="H595" s="274">
        <v>36.5</v>
      </c>
      <c r="I595" s="274" t="s">
        <v>2665</v>
      </c>
      <c r="J595" s="113" t="s">
        <v>6120</v>
      </c>
      <c r="K595" s="116">
        <v>41.78</v>
      </c>
      <c r="L595" s="266" t="s">
        <v>2711</v>
      </c>
      <c r="M595" s="266" t="s">
        <v>2684</v>
      </c>
      <c r="N595" s="113" t="s">
        <v>66</v>
      </c>
      <c r="O595" s="113"/>
      <c r="P595" s="113"/>
      <c r="Q595" s="113">
        <v>20279.2484442317</v>
      </c>
      <c r="R595" s="113">
        <v>847267</v>
      </c>
      <c r="S595" s="121">
        <v>447267</v>
      </c>
      <c r="T595" s="292">
        <f t="shared" si="193"/>
        <v>400000</v>
      </c>
      <c r="U595" s="113"/>
      <c r="V595" s="113"/>
      <c r="W595" s="113"/>
      <c r="X595" s="113"/>
      <c r="Y595" s="113"/>
      <c r="Z595" s="113"/>
      <c r="AA595" s="113"/>
      <c r="AB595" s="113"/>
      <c r="AC595" s="113"/>
      <c r="AD595" s="113"/>
      <c r="AE595" s="133"/>
      <c r="AF595" s="115"/>
      <c r="AG595" s="133"/>
      <c r="AH595" s="133"/>
      <c r="AI595" s="132">
        <f t="shared" si="190"/>
        <v>447267</v>
      </c>
      <c r="AJ595" s="132">
        <f t="shared" si="191"/>
        <v>447267</v>
      </c>
      <c r="AK595" s="133">
        <f t="shared" si="192"/>
        <v>0</v>
      </c>
      <c r="AL595" s="310"/>
      <c r="AM595" s="133" t="s">
        <v>886</v>
      </c>
      <c r="AN595" s="246">
        <v>44844</v>
      </c>
    </row>
    <row r="596" customHeight="1" spans="1:40">
      <c r="A596" s="115" t="s">
        <v>6121</v>
      </c>
      <c r="B596" s="111" t="s">
        <v>6122</v>
      </c>
      <c r="C596" s="554" t="s">
        <v>6123</v>
      </c>
      <c r="D596" s="113" t="s">
        <v>6124</v>
      </c>
      <c r="E596" s="113">
        <v>13938580801</v>
      </c>
      <c r="F596" s="267">
        <v>1</v>
      </c>
      <c r="G596" s="268">
        <v>193</v>
      </c>
      <c r="H596" s="274">
        <v>30.1</v>
      </c>
      <c r="I596" s="274" t="s">
        <v>2657</v>
      </c>
      <c r="J596" s="113" t="s">
        <v>6125</v>
      </c>
      <c r="K596" s="116">
        <v>32.42</v>
      </c>
      <c r="L596" s="266" t="s">
        <v>2746</v>
      </c>
      <c r="M596" s="266" t="s">
        <v>3258</v>
      </c>
      <c r="N596" s="113" t="s">
        <v>66</v>
      </c>
      <c r="O596" s="113"/>
      <c r="P596" s="113"/>
      <c r="Q596" s="113">
        <v>47077.51</v>
      </c>
      <c r="R596" s="113">
        <v>1526253</v>
      </c>
      <c r="S596" s="121">
        <v>766253</v>
      </c>
      <c r="T596" s="292">
        <f t="shared" si="193"/>
        <v>760000</v>
      </c>
      <c r="U596" s="113"/>
      <c r="V596" s="113"/>
      <c r="W596" s="113"/>
      <c r="X596" s="113"/>
      <c r="Y596" s="113"/>
      <c r="Z596" s="113"/>
      <c r="AA596" s="113"/>
      <c r="AB596" s="113"/>
      <c r="AC596" s="113"/>
      <c r="AD596" s="113"/>
      <c r="AE596" s="133"/>
      <c r="AF596" s="115"/>
      <c r="AG596" s="133"/>
      <c r="AH596" s="133"/>
      <c r="AI596" s="132">
        <f t="shared" si="190"/>
        <v>766253</v>
      </c>
      <c r="AJ596" s="132">
        <f t="shared" si="191"/>
        <v>766253</v>
      </c>
      <c r="AK596" s="133">
        <f t="shared" si="192"/>
        <v>0</v>
      </c>
      <c r="AL596" s="310"/>
      <c r="AM596" s="133" t="s">
        <v>886</v>
      </c>
      <c r="AN596" s="246">
        <v>44844</v>
      </c>
    </row>
    <row r="597" customHeight="1" spans="1:40">
      <c r="A597" s="115" t="s">
        <v>6126</v>
      </c>
      <c r="B597" s="111" t="s">
        <v>6127</v>
      </c>
      <c r="C597" s="111" t="s">
        <v>6128</v>
      </c>
      <c r="D597" s="113" t="s">
        <v>6129</v>
      </c>
      <c r="E597" s="113" t="s">
        <v>6130</v>
      </c>
      <c r="F597" s="267">
        <v>4</v>
      </c>
      <c r="G597" s="268">
        <v>453</v>
      </c>
      <c r="H597" s="274">
        <v>14.04</v>
      </c>
      <c r="I597" s="274" t="s">
        <v>2657</v>
      </c>
      <c r="J597" s="113" t="s">
        <v>6131</v>
      </c>
      <c r="K597" s="116">
        <v>14.48</v>
      </c>
      <c r="L597" s="266" t="s">
        <v>3326</v>
      </c>
      <c r="M597" s="266" t="s">
        <v>6132</v>
      </c>
      <c r="N597" s="113" t="s">
        <v>56</v>
      </c>
      <c r="O597" s="113"/>
      <c r="P597" s="113"/>
      <c r="Q597" s="113">
        <v>25982.41</v>
      </c>
      <c r="R597" s="113">
        <v>364793</v>
      </c>
      <c r="S597" s="121">
        <v>364793</v>
      </c>
      <c r="T597" s="292">
        <f t="shared" si="193"/>
        <v>0</v>
      </c>
      <c r="U597" s="113"/>
      <c r="V597" s="113">
        <v>912</v>
      </c>
      <c r="W597" s="113">
        <v>550</v>
      </c>
      <c r="X597" s="113"/>
      <c r="Y597" s="113" t="s">
        <v>2669</v>
      </c>
      <c r="Z597" s="113" t="s">
        <v>48</v>
      </c>
      <c r="AA597" s="275">
        <v>44067</v>
      </c>
      <c r="AB597" s="113" t="s">
        <v>6133</v>
      </c>
      <c r="AC597" s="113"/>
      <c r="AD597" s="113"/>
      <c r="AE597" s="133"/>
      <c r="AF597" s="115"/>
      <c r="AG597" s="133"/>
      <c r="AH597" s="133"/>
      <c r="AI597" s="132">
        <f t="shared" si="190"/>
        <v>366255</v>
      </c>
      <c r="AJ597" s="132">
        <f t="shared" si="191"/>
        <v>366255</v>
      </c>
      <c r="AK597" s="133">
        <f t="shared" si="192"/>
        <v>0</v>
      </c>
      <c r="AL597" s="310"/>
      <c r="AM597" s="133" t="s">
        <v>886</v>
      </c>
      <c r="AN597" s="246">
        <v>44844</v>
      </c>
    </row>
    <row r="598" customHeight="1" spans="1:40">
      <c r="A598" s="115" t="s">
        <v>6134</v>
      </c>
      <c r="B598" s="111" t="s">
        <v>6135</v>
      </c>
      <c r="C598" s="554" t="s">
        <v>6136</v>
      </c>
      <c r="D598" s="113" t="s">
        <v>6137</v>
      </c>
      <c r="E598" s="113">
        <v>18300695923</v>
      </c>
      <c r="F598" s="267">
        <v>1</v>
      </c>
      <c r="G598" s="268">
        <v>1116</v>
      </c>
      <c r="H598" s="274">
        <v>13.82</v>
      </c>
      <c r="I598" s="274" t="s">
        <v>2657</v>
      </c>
      <c r="J598" s="113" t="s">
        <v>6138</v>
      </c>
      <c r="K598" s="116">
        <v>15.21</v>
      </c>
      <c r="L598" s="266" t="s">
        <v>3408</v>
      </c>
      <c r="M598" s="266" t="s">
        <v>3739</v>
      </c>
      <c r="N598" s="113" t="s">
        <v>66</v>
      </c>
      <c r="O598" s="113"/>
      <c r="P598" s="113"/>
      <c r="Q598" s="113">
        <v>48194.02</v>
      </c>
      <c r="R598" s="113">
        <v>733031</v>
      </c>
      <c r="S598" s="121">
        <v>373031</v>
      </c>
      <c r="T598" s="292">
        <f t="shared" si="193"/>
        <v>360000</v>
      </c>
      <c r="U598" s="113"/>
      <c r="V598" s="113"/>
      <c r="W598" s="113"/>
      <c r="X598" s="113"/>
      <c r="Y598" s="113"/>
      <c r="Z598" s="113"/>
      <c r="AA598" s="275"/>
      <c r="AB598" s="113"/>
      <c r="AC598" s="113"/>
      <c r="AD598" s="113"/>
      <c r="AE598" s="133"/>
      <c r="AF598" s="115"/>
      <c r="AG598" s="133"/>
      <c r="AH598" s="133"/>
      <c r="AI598" s="132">
        <f t="shared" si="190"/>
        <v>373031</v>
      </c>
      <c r="AJ598" s="132">
        <f t="shared" si="191"/>
        <v>373031</v>
      </c>
      <c r="AK598" s="133">
        <f t="shared" si="192"/>
        <v>0</v>
      </c>
      <c r="AL598" s="310"/>
      <c r="AM598" s="133" t="s">
        <v>886</v>
      </c>
      <c r="AN598" s="246">
        <v>44844</v>
      </c>
    </row>
    <row r="599" customHeight="1" spans="1:40">
      <c r="A599" s="115" t="s">
        <v>6139</v>
      </c>
      <c r="B599" s="115" t="s">
        <v>6140</v>
      </c>
      <c r="C599" s="155" t="s">
        <v>6141</v>
      </c>
      <c r="D599" s="291" t="s">
        <v>6142</v>
      </c>
      <c r="E599" s="156">
        <v>18639108273</v>
      </c>
      <c r="F599" s="115">
        <v>3</v>
      </c>
      <c r="G599" s="115">
        <v>358</v>
      </c>
      <c r="H599" s="156">
        <v>21.48</v>
      </c>
      <c r="I599" s="115" t="s">
        <v>2665</v>
      </c>
      <c r="J599" s="181" t="s">
        <v>6143</v>
      </c>
      <c r="K599" s="156">
        <v>20.2</v>
      </c>
      <c r="L599" s="115" t="s">
        <v>2711</v>
      </c>
      <c r="M599" s="115" t="s">
        <v>2793</v>
      </c>
      <c r="N599" s="115" t="s">
        <v>66</v>
      </c>
      <c r="O599" s="181"/>
      <c r="P599" s="181"/>
      <c r="Q599" s="115">
        <v>22994.3564356436</v>
      </c>
      <c r="R599" s="115">
        <v>464486</v>
      </c>
      <c r="S599" s="293">
        <v>234486</v>
      </c>
      <c r="T599" s="293">
        <v>230000</v>
      </c>
      <c r="U599" s="293"/>
      <c r="V599" s="293"/>
      <c r="W599" s="293"/>
      <c r="X599" s="293"/>
      <c r="Y599" s="181"/>
      <c r="Z599" s="181"/>
      <c r="AA599" s="245"/>
      <c r="AB599" s="181"/>
      <c r="AC599" s="239"/>
      <c r="AD599" s="239"/>
      <c r="AE599" s="133"/>
      <c r="AF599" s="115"/>
      <c r="AG599" s="133"/>
      <c r="AH599" s="133"/>
      <c r="AI599" s="132">
        <f t="shared" si="190"/>
        <v>234486</v>
      </c>
      <c r="AJ599" s="132">
        <f t="shared" si="191"/>
        <v>234486</v>
      </c>
      <c r="AK599" s="133">
        <f t="shared" si="192"/>
        <v>0</v>
      </c>
      <c r="AL599" s="132"/>
      <c r="AM599" s="133" t="s">
        <v>854</v>
      </c>
      <c r="AN599" s="246">
        <v>44844</v>
      </c>
    </row>
    <row r="600" customHeight="1" spans="1:40">
      <c r="A600" s="115" t="s">
        <v>6144</v>
      </c>
      <c r="B600" s="111" t="s">
        <v>6145</v>
      </c>
      <c r="C600" s="111" t="s">
        <v>6146</v>
      </c>
      <c r="D600" s="113"/>
      <c r="E600" s="113">
        <v>13592688789</v>
      </c>
      <c r="F600" s="267">
        <v>3</v>
      </c>
      <c r="G600" s="268">
        <v>3342</v>
      </c>
      <c r="H600" s="274">
        <v>21.64</v>
      </c>
      <c r="I600" s="274" t="s">
        <v>2657</v>
      </c>
      <c r="J600" s="113" t="s">
        <v>6147</v>
      </c>
      <c r="K600" s="116">
        <v>18.23</v>
      </c>
      <c r="L600" s="266" t="s">
        <v>3425</v>
      </c>
      <c r="M600" s="266" t="s">
        <v>2904</v>
      </c>
      <c r="N600" s="113" t="s">
        <v>66</v>
      </c>
      <c r="O600" s="113"/>
      <c r="P600" s="113"/>
      <c r="Q600" s="113">
        <v>30608.89</v>
      </c>
      <c r="R600" s="113">
        <v>558000</v>
      </c>
      <c r="S600" s="121">
        <v>298000</v>
      </c>
      <c r="T600" s="292">
        <f>R600-S600</f>
        <v>260000</v>
      </c>
      <c r="U600" s="113"/>
      <c r="V600" s="113"/>
      <c r="W600" s="113"/>
      <c r="X600" s="113"/>
      <c r="Y600" s="113"/>
      <c r="Z600" s="113"/>
      <c r="AA600" s="275"/>
      <c r="AB600" s="113"/>
      <c r="AC600" s="113"/>
      <c r="AD600" s="113"/>
      <c r="AE600" s="133"/>
      <c r="AF600" s="115"/>
      <c r="AG600" s="133"/>
      <c r="AH600" s="133"/>
      <c r="AI600" s="132">
        <f t="shared" si="190"/>
        <v>298000</v>
      </c>
      <c r="AJ600" s="132">
        <f t="shared" si="191"/>
        <v>298000</v>
      </c>
      <c r="AK600" s="133">
        <f t="shared" si="192"/>
        <v>0</v>
      </c>
      <c r="AL600" s="310"/>
      <c r="AM600" s="133" t="s">
        <v>886</v>
      </c>
      <c r="AN600" s="246">
        <v>44844</v>
      </c>
    </row>
    <row r="601" customHeight="1" spans="1:40">
      <c r="A601" s="115" t="s">
        <v>6148</v>
      </c>
      <c r="B601" s="111" t="s">
        <v>6149</v>
      </c>
      <c r="C601" s="111" t="s">
        <v>6150</v>
      </c>
      <c r="D601" s="113" t="s">
        <v>6151</v>
      </c>
      <c r="E601" s="113">
        <v>13526031351</v>
      </c>
      <c r="F601" s="267">
        <v>4</v>
      </c>
      <c r="G601" s="268">
        <v>4480</v>
      </c>
      <c r="H601" s="274">
        <v>20.03</v>
      </c>
      <c r="I601" s="274" t="s">
        <v>2665</v>
      </c>
      <c r="J601" s="113" t="s">
        <v>6152</v>
      </c>
      <c r="K601" s="116">
        <v>31.53</v>
      </c>
      <c r="L601" s="266" t="s">
        <v>3387</v>
      </c>
      <c r="M601" s="266" t="s">
        <v>2941</v>
      </c>
      <c r="N601" s="113" t="s">
        <v>56</v>
      </c>
      <c r="O601" s="113"/>
      <c r="P601" s="113"/>
      <c r="Q601" s="113">
        <v>26898.29</v>
      </c>
      <c r="R601" s="113">
        <v>538773</v>
      </c>
      <c r="S601" s="121">
        <v>538773</v>
      </c>
      <c r="T601" s="292">
        <f>R601-S601</f>
        <v>0</v>
      </c>
      <c r="U601" s="113"/>
      <c r="V601" s="113">
        <v>1301</v>
      </c>
      <c r="W601" s="113">
        <v>550</v>
      </c>
      <c r="X601" s="113">
        <v>57479</v>
      </c>
      <c r="Y601" s="113" t="s">
        <v>2669</v>
      </c>
      <c r="Z601" s="113"/>
      <c r="AA601" s="275"/>
      <c r="AB601" s="113"/>
      <c r="AC601" s="113"/>
      <c r="AD601" s="113"/>
      <c r="AE601" s="133"/>
      <c r="AF601" s="115"/>
      <c r="AG601" s="133"/>
      <c r="AH601" s="133"/>
      <c r="AI601" s="132">
        <f t="shared" ref="AI601:AI611" si="194">S601+U601+V601+W601+X601+AC601+AD601+AE601</f>
        <v>598103</v>
      </c>
      <c r="AJ601" s="132">
        <f t="shared" ref="AJ601:AJ611" si="195">S601+U601+V601+W601+X601</f>
        <v>598103</v>
      </c>
      <c r="AK601" s="133">
        <f t="shared" ref="AK601:AK611" si="196">AI601-AJ601</f>
        <v>0</v>
      </c>
      <c r="AL601" s="310" t="s">
        <v>6153</v>
      </c>
      <c r="AM601" s="133" t="s">
        <v>886</v>
      </c>
      <c r="AN601" s="246">
        <v>44844</v>
      </c>
    </row>
    <row r="602" customHeight="1" spans="1:40">
      <c r="A602" s="115" t="s">
        <v>6154</v>
      </c>
      <c r="B602" s="111" t="s">
        <v>6155</v>
      </c>
      <c r="C602" s="554" t="s">
        <v>6156</v>
      </c>
      <c r="D602" s="113" t="s">
        <v>6157</v>
      </c>
      <c r="E602" s="113">
        <v>18838166500</v>
      </c>
      <c r="F602" s="267">
        <v>4</v>
      </c>
      <c r="G602" s="268">
        <v>4367</v>
      </c>
      <c r="H602" s="274">
        <v>14.24</v>
      </c>
      <c r="I602" s="274" t="s">
        <v>2657</v>
      </c>
      <c r="J602" s="113" t="s">
        <v>6158</v>
      </c>
      <c r="K602" s="116">
        <v>11.59</v>
      </c>
      <c r="L602" s="266" t="s">
        <v>3029</v>
      </c>
      <c r="M602" s="266" t="s">
        <v>3491</v>
      </c>
      <c r="N602" s="113" t="s">
        <v>66</v>
      </c>
      <c r="O602" s="113"/>
      <c r="P602" s="113"/>
      <c r="Q602" s="113">
        <v>27447.71</v>
      </c>
      <c r="R602" s="113">
        <v>318119</v>
      </c>
      <c r="S602" s="121">
        <v>168119</v>
      </c>
      <c r="T602" s="292">
        <f>R602-S602</f>
        <v>150000</v>
      </c>
      <c r="U602" s="113"/>
      <c r="V602" s="113"/>
      <c r="W602" s="113"/>
      <c r="X602" s="113"/>
      <c r="Y602" s="113"/>
      <c r="Z602" s="113"/>
      <c r="AA602" s="275"/>
      <c r="AB602" s="113"/>
      <c r="AC602" s="113"/>
      <c r="AD602" s="113"/>
      <c r="AE602" s="133"/>
      <c r="AF602" s="115"/>
      <c r="AG602" s="133"/>
      <c r="AH602" s="133"/>
      <c r="AI602" s="132">
        <f t="shared" si="194"/>
        <v>168119</v>
      </c>
      <c r="AJ602" s="132">
        <f t="shared" si="195"/>
        <v>168119</v>
      </c>
      <c r="AK602" s="133">
        <f t="shared" si="196"/>
        <v>0</v>
      </c>
      <c r="AL602" s="310"/>
      <c r="AM602" s="133" t="s">
        <v>886</v>
      </c>
      <c r="AN602" s="246">
        <v>44844</v>
      </c>
    </row>
    <row r="603" customHeight="1" spans="1:40">
      <c r="A603" s="115" t="s">
        <v>6159</v>
      </c>
      <c r="B603" s="111" t="s">
        <v>6160</v>
      </c>
      <c r="C603" s="111" t="s">
        <v>6161</v>
      </c>
      <c r="D603" s="113" t="s">
        <v>6162</v>
      </c>
      <c r="E603" s="113" t="s">
        <v>6163</v>
      </c>
      <c r="F603" s="267">
        <v>4</v>
      </c>
      <c r="G603" s="268">
        <v>4132</v>
      </c>
      <c r="H603" s="274">
        <v>24.88</v>
      </c>
      <c r="I603" s="274" t="s">
        <v>2665</v>
      </c>
      <c r="J603" s="113" t="s">
        <v>6164</v>
      </c>
      <c r="K603" s="116">
        <v>30.08</v>
      </c>
      <c r="L603" s="266" t="s">
        <v>2712</v>
      </c>
      <c r="M603" s="266" t="s">
        <v>4328</v>
      </c>
      <c r="N603" s="113" t="s">
        <v>56</v>
      </c>
      <c r="O603" s="113"/>
      <c r="P603" s="113"/>
      <c r="Q603" s="113">
        <v>25549.14</v>
      </c>
      <c r="R603" s="113">
        <v>635663</v>
      </c>
      <c r="S603" s="121">
        <v>635663</v>
      </c>
      <c r="T603" s="292">
        <f>R603-S603</f>
        <v>0</v>
      </c>
      <c r="U603" s="113"/>
      <c r="V603" s="113">
        <v>1617</v>
      </c>
      <c r="W603" s="113">
        <v>550</v>
      </c>
      <c r="X603" s="113">
        <v>130688</v>
      </c>
      <c r="Y603" s="113" t="s">
        <v>2669</v>
      </c>
      <c r="Z603" s="113"/>
      <c r="AA603" s="275"/>
      <c r="AB603" s="113" t="s">
        <v>6165</v>
      </c>
      <c r="AC603" s="113"/>
      <c r="AD603" s="113"/>
      <c r="AE603" s="133"/>
      <c r="AF603" s="115"/>
      <c r="AG603" s="133"/>
      <c r="AH603" s="133"/>
      <c r="AI603" s="132">
        <f t="shared" si="194"/>
        <v>768518</v>
      </c>
      <c r="AJ603" s="132">
        <f t="shared" si="195"/>
        <v>768518</v>
      </c>
      <c r="AK603" s="133">
        <f t="shared" si="196"/>
        <v>0</v>
      </c>
      <c r="AL603" s="310"/>
      <c r="AM603" s="133" t="s">
        <v>886</v>
      </c>
      <c r="AN603" s="246">
        <v>44844</v>
      </c>
    </row>
    <row r="604" customHeight="1" spans="1:40">
      <c r="A604" s="115" t="s">
        <v>6166</v>
      </c>
      <c r="B604" s="115" t="s">
        <v>6167</v>
      </c>
      <c r="C604" s="555" t="s">
        <v>6168</v>
      </c>
      <c r="D604" s="291" t="s">
        <v>6169</v>
      </c>
      <c r="E604" s="156">
        <v>13939099899</v>
      </c>
      <c r="F604" s="115">
        <v>1</v>
      </c>
      <c r="G604" s="115">
        <v>1702</v>
      </c>
      <c r="H604" s="156">
        <v>22.63</v>
      </c>
      <c r="I604" s="115" t="s">
        <v>2657</v>
      </c>
      <c r="J604" s="181" t="s">
        <v>6170</v>
      </c>
      <c r="K604" s="156">
        <v>25.09</v>
      </c>
      <c r="L604" s="115" t="s">
        <v>5098</v>
      </c>
      <c r="M604" s="246">
        <v>44077</v>
      </c>
      <c r="N604" s="115" t="s">
        <v>56</v>
      </c>
      <c r="O604" s="181"/>
      <c r="P604" s="181"/>
      <c r="Q604" s="115">
        <v>44001.67</v>
      </c>
      <c r="R604" s="115">
        <v>995758</v>
      </c>
      <c r="S604" s="293">
        <v>995758</v>
      </c>
      <c r="T604" s="293">
        <v>0</v>
      </c>
      <c r="U604" s="293"/>
      <c r="V604" s="293">
        <v>1470</v>
      </c>
      <c r="W604" s="293">
        <v>550</v>
      </c>
      <c r="X604" s="293"/>
      <c r="Y604" s="181" t="s">
        <v>2669</v>
      </c>
      <c r="Z604" s="181" t="s">
        <v>48</v>
      </c>
      <c r="AA604" s="245">
        <v>44077</v>
      </c>
      <c r="AB604" s="181"/>
      <c r="AC604" s="239"/>
      <c r="AD604" s="239"/>
      <c r="AE604" s="133"/>
      <c r="AF604" s="115"/>
      <c r="AG604" s="133"/>
      <c r="AH604" s="133"/>
      <c r="AI604" s="132">
        <f t="shared" si="194"/>
        <v>997778</v>
      </c>
      <c r="AJ604" s="132">
        <f t="shared" si="195"/>
        <v>997778</v>
      </c>
      <c r="AK604" s="133">
        <f t="shared" si="196"/>
        <v>0</v>
      </c>
      <c r="AL604" s="132"/>
      <c r="AM604" s="133" t="s">
        <v>854</v>
      </c>
      <c r="AN604" s="246">
        <v>44844</v>
      </c>
    </row>
    <row r="605" customHeight="1" spans="1:40">
      <c r="A605" s="115" t="s">
        <v>6171</v>
      </c>
      <c r="B605" s="115" t="s">
        <v>6167</v>
      </c>
      <c r="C605" s="555" t="s">
        <v>6168</v>
      </c>
      <c r="D605" s="291" t="s">
        <v>6169</v>
      </c>
      <c r="E605" s="156">
        <v>13939099899</v>
      </c>
      <c r="F605" s="115">
        <v>1</v>
      </c>
      <c r="G605" s="115">
        <v>1703</v>
      </c>
      <c r="H605" s="156">
        <v>27.18</v>
      </c>
      <c r="I605" s="115" t="s">
        <v>2657</v>
      </c>
      <c r="J605" s="181" t="s">
        <v>6172</v>
      </c>
      <c r="K605" s="156">
        <v>25.43</v>
      </c>
      <c r="L605" s="115" t="s">
        <v>5098</v>
      </c>
      <c r="M605" s="246">
        <v>44077</v>
      </c>
      <c r="N605" s="115" t="s">
        <v>56</v>
      </c>
      <c r="O605" s="181"/>
      <c r="P605" s="181"/>
      <c r="Q605" s="115">
        <v>44004.36</v>
      </c>
      <c r="R605" s="115">
        <v>1196039</v>
      </c>
      <c r="S605" s="293">
        <v>1196039</v>
      </c>
      <c r="T605" s="293">
        <v>0</v>
      </c>
      <c r="U605" s="293"/>
      <c r="V605" s="293">
        <v>1766</v>
      </c>
      <c r="W605" s="293">
        <v>550</v>
      </c>
      <c r="X605" s="293">
        <v>26900</v>
      </c>
      <c r="Y605" s="181" t="s">
        <v>2669</v>
      </c>
      <c r="Z605" s="181" t="s">
        <v>48</v>
      </c>
      <c r="AA605" s="245">
        <v>44077</v>
      </c>
      <c r="AB605" s="181"/>
      <c r="AC605" s="239"/>
      <c r="AD605" s="239"/>
      <c r="AE605" s="133"/>
      <c r="AF605" s="115"/>
      <c r="AG605" s="133"/>
      <c r="AH605" s="133"/>
      <c r="AI605" s="132">
        <f t="shared" si="194"/>
        <v>1225255</v>
      </c>
      <c r="AJ605" s="132">
        <f t="shared" si="195"/>
        <v>1225255</v>
      </c>
      <c r="AK605" s="133">
        <f t="shared" si="196"/>
        <v>0</v>
      </c>
      <c r="AL605" s="132"/>
      <c r="AM605" s="133" t="s">
        <v>854</v>
      </c>
      <c r="AN605" s="246">
        <v>44844</v>
      </c>
    </row>
    <row r="606" customHeight="1" spans="1:40">
      <c r="A606" s="115" t="s">
        <v>6173</v>
      </c>
      <c r="B606" s="115" t="s">
        <v>6167</v>
      </c>
      <c r="C606" s="555" t="s">
        <v>6168</v>
      </c>
      <c r="D606" s="291" t="s">
        <v>6169</v>
      </c>
      <c r="E606" s="156">
        <v>13939099899</v>
      </c>
      <c r="F606" s="115">
        <v>1</v>
      </c>
      <c r="G606" s="115">
        <v>1706</v>
      </c>
      <c r="H606" s="156">
        <v>20.25</v>
      </c>
      <c r="I606" s="115" t="s">
        <v>2657</v>
      </c>
      <c r="J606" s="181" t="s">
        <v>6174</v>
      </c>
      <c r="K606" s="156">
        <v>26.66</v>
      </c>
      <c r="L606" s="115" t="s">
        <v>5098</v>
      </c>
      <c r="M606" s="246">
        <v>44077</v>
      </c>
      <c r="N606" s="115" t="s">
        <v>56</v>
      </c>
      <c r="O606" s="181"/>
      <c r="P606" s="181"/>
      <c r="Q606" s="115">
        <v>44001.69</v>
      </c>
      <c r="R606" s="115">
        <v>891034</v>
      </c>
      <c r="S606" s="293">
        <v>891034</v>
      </c>
      <c r="T606" s="293">
        <v>0</v>
      </c>
      <c r="U606" s="293"/>
      <c r="V606" s="293">
        <v>1316</v>
      </c>
      <c r="W606" s="293">
        <v>550</v>
      </c>
      <c r="X606" s="293">
        <v>280185</v>
      </c>
      <c r="Y606" s="181" t="s">
        <v>2669</v>
      </c>
      <c r="Z606" s="181" t="s">
        <v>48</v>
      </c>
      <c r="AA606" s="245">
        <v>44077</v>
      </c>
      <c r="AB606" s="181"/>
      <c r="AC606" s="239"/>
      <c r="AD606" s="239"/>
      <c r="AE606" s="133"/>
      <c r="AF606" s="115"/>
      <c r="AG606" s="133"/>
      <c r="AH606" s="133"/>
      <c r="AI606" s="132">
        <f t="shared" si="194"/>
        <v>1173085</v>
      </c>
      <c r="AJ606" s="132">
        <f t="shared" si="195"/>
        <v>1173085</v>
      </c>
      <c r="AK606" s="133">
        <f t="shared" si="196"/>
        <v>0</v>
      </c>
      <c r="AL606" s="132"/>
      <c r="AM606" s="133" t="s">
        <v>854</v>
      </c>
      <c r="AN606" s="246">
        <v>44844</v>
      </c>
    </row>
    <row r="607" customHeight="1" spans="1:40">
      <c r="A607" s="115" t="s">
        <v>6175</v>
      </c>
      <c r="B607" s="115" t="s">
        <v>6176</v>
      </c>
      <c r="C607" s="155" t="s">
        <v>6177</v>
      </c>
      <c r="D607" s="291" t="s">
        <v>6178</v>
      </c>
      <c r="E607" s="156">
        <v>13253563239</v>
      </c>
      <c r="F607" s="115">
        <v>3</v>
      </c>
      <c r="G607" s="115">
        <v>3679</v>
      </c>
      <c r="H607" s="156">
        <v>11</v>
      </c>
      <c r="I607" s="115" t="s">
        <v>2657</v>
      </c>
      <c r="J607" s="181" t="s">
        <v>6179</v>
      </c>
      <c r="K607" s="156">
        <v>8.13</v>
      </c>
      <c r="L607" s="115" t="s">
        <v>3205</v>
      </c>
      <c r="M607" s="246" t="s">
        <v>3205</v>
      </c>
      <c r="N607" s="115" t="s">
        <v>66</v>
      </c>
      <c r="O607" s="181"/>
      <c r="P607" s="181"/>
      <c r="Q607" s="115">
        <v>33160.89</v>
      </c>
      <c r="R607" s="115">
        <v>269598</v>
      </c>
      <c r="S607" s="293">
        <v>199598</v>
      </c>
      <c r="T607" s="293">
        <v>70000</v>
      </c>
      <c r="U607" s="293"/>
      <c r="V607" s="293"/>
      <c r="W607" s="293"/>
      <c r="X607" s="293"/>
      <c r="Y607" s="181"/>
      <c r="Z607" s="181"/>
      <c r="AA607" s="245"/>
      <c r="AB607" s="181"/>
      <c r="AC607" s="239"/>
      <c r="AD607" s="239"/>
      <c r="AE607" s="133"/>
      <c r="AF607" s="115"/>
      <c r="AG607" s="133"/>
      <c r="AH607" s="133"/>
      <c r="AI607" s="132">
        <f t="shared" si="194"/>
        <v>199598</v>
      </c>
      <c r="AJ607" s="132">
        <f t="shared" si="195"/>
        <v>199598</v>
      </c>
      <c r="AK607" s="133">
        <f t="shared" si="196"/>
        <v>0</v>
      </c>
      <c r="AL607" s="132"/>
      <c r="AM607" s="133" t="s">
        <v>854</v>
      </c>
      <c r="AN607" s="246">
        <v>44844</v>
      </c>
    </row>
    <row r="608" customHeight="1" spans="1:40">
      <c r="A608" s="115" t="s">
        <v>6180</v>
      </c>
      <c r="B608" s="115" t="s">
        <v>6181</v>
      </c>
      <c r="C608" s="155" t="s">
        <v>6182</v>
      </c>
      <c r="D608" s="291" t="s">
        <v>6183</v>
      </c>
      <c r="E608" s="156">
        <v>13213071308</v>
      </c>
      <c r="F608" s="115">
        <v>3</v>
      </c>
      <c r="G608" s="115">
        <v>390</v>
      </c>
      <c r="H608" s="156">
        <v>21.64</v>
      </c>
      <c r="I608" s="115" t="s">
        <v>2657</v>
      </c>
      <c r="J608" s="181" t="s">
        <v>6184</v>
      </c>
      <c r="K608" s="156">
        <v>24.89</v>
      </c>
      <c r="L608" s="115" t="s">
        <v>4715</v>
      </c>
      <c r="M608" s="246" t="s">
        <v>6185</v>
      </c>
      <c r="N608" s="115" t="s">
        <v>66</v>
      </c>
      <c r="O608" s="181"/>
      <c r="P608" s="181"/>
      <c r="Q608" s="115">
        <v>31171.55</v>
      </c>
      <c r="R608" s="115">
        <v>775860</v>
      </c>
      <c r="S608" s="293">
        <v>395860</v>
      </c>
      <c r="T608" s="293">
        <v>380000</v>
      </c>
      <c r="U608" s="293"/>
      <c r="V608" s="293"/>
      <c r="W608" s="293"/>
      <c r="X608" s="293"/>
      <c r="Y608" s="181"/>
      <c r="Z608" s="181"/>
      <c r="AA608" s="245"/>
      <c r="AB608" s="181"/>
      <c r="AC608" s="239"/>
      <c r="AD608" s="239"/>
      <c r="AE608" s="133"/>
      <c r="AF608" s="115"/>
      <c r="AG608" s="133"/>
      <c r="AH608" s="133"/>
      <c r="AI608" s="132">
        <f t="shared" si="194"/>
        <v>395860</v>
      </c>
      <c r="AJ608" s="132">
        <f t="shared" si="195"/>
        <v>395860</v>
      </c>
      <c r="AK608" s="133">
        <f t="shared" si="196"/>
        <v>0</v>
      </c>
      <c r="AL608" s="132"/>
      <c r="AM608" s="133" t="s">
        <v>854</v>
      </c>
      <c r="AN608" s="246">
        <v>44844</v>
      </c>
    </row>
    <row r="609" customHeight="1" spans="1:40">
      <c r="A609" s="115" t="s">
        <v>6186</v>
      </c>
      <c r="B609" s="111" t="s">
        <v>6187</v>
      </c>
      <c r="C609" s="111" t="s">
        <v>6188</v>
      </c>
      <c r="D609" s="113" t="s">
        <v>6189</v>
      </c>
      <c r="E609" s="113">
        <v>13938518062</v>
      </c>
      <c r="F609" s="267">
        <v>3</v>
      </c>
      <c r="G609" s="268">
        <v>3316</v>
      </c>
      <c r="H609" s="274">
        <v>22.67</v>
      </c>
      <c r="I609" s="274" t="s">
        <v>2657</v>
      </c>
      <c r="J609" s="113" t="s">
        <v>6190</v>
      </c>
      <c r="K609" s="116">
        <v>20.15</v>
      </c>
      <c r="L609" s="266" t="s">
        <v>3710</v>
      </c>
      <c r="M609" s="266" t="s">
        <v>3710</v>
      </c>
      <c r="N609" s="113" t="s">
        <v>66</v>
      </c>
      <c r="O609" s="113"/>
      <c r="P609" s="113"/>
      <c r="Q609" s="113">
        <v>31584.62</v>
      </c>
      <c r="R609" s="113">
        <v>636430</v>
      </c>
      <c r="S609" s="121">
        <v>326430</v>
      </c>
      <c r="T609" s="292">
        <f t="shared" ref="T609:T635" si="197">R609-S609</f>
        <v>310000</v>
      </c>
      <c r="U609" s="113"/>
      <c r="V609" s="113"/>
      <c r="W609" s="113"/>
      <c r="X609" s="113"/>
      <c r="Y609" s="113"/>
      <c r="Z609" s="113"/>
      <c r="AA609" s="275"/>
      <c r="AB609" s="113"/>
      <c r="AC609" s="113"/>
      <c r="AD609" s="113"/>
      <c r="AE609" s="133"/>
      <c r="AF609" s="115"/>
      <c r="AG609" s="133"/>
      <c r="AH609" s="133"/>
      <c r="AI609" s="132">
        <f t="shared" si="194"/>
        <v>326430</v>
      </c>
      <c r="AJ609" s="132">
        <f t="shared" si="195"/>
        <v>326430</v>
      </c>
      <c r="AK609" s="133">
        <f t="shared" si="196"/>
        <v>0</v>
      </c>
      <c r="AL609" s="310"/>
      <c r="AM609" s="133" t="s">
        <v>886</v>
      </c>
      <c r="AN609" s="246">
        <v>44844</v>
      </c>
    </row>
    <row r="610" s="96" customFormat="1" customHeight="1" spans="1:41">
      <c r="A610" s="115" t="s">
        <v>6191</v>
      </c>
      <c r="B610" s="111" t="s">
        <v>6192</v>
      </c>
      <c r="C610" s="111" t="s">
        <v>6193</v>
      </c>
      <c r="D610" s="113" t="s">
        <v>6194</v>
      </c>
      <c r="E610" s="113" t="s">
        <v>6195</v>
      </c>
      <c r="F610" s="267">
        <v>1</v>
      </c>
      <c r="G610" s="268">
        <v>1735</v>
      </c>
      <c r="H610" s="274">
        <v>18.85</v>
      </c>
      <c r="I610" s="274" t="s">
        <v>2657</v>
      </c>
      <c r="J610" s="113" t="s">
        <v>6196</v>
      </c>
      <c r="K610" s="116">
        <v>18.29</v>
      </c>
      <c r="L610" s="266" t="s">
        <v>6197</v>
      </c>
      <c r="M610" s="266" t="s">
        <v>6198</v>
      </c>
      <c r="N610" s="113" t="s">
        <v>66</v>
      </c>
      <c r="O610" s="113"/>
      <c r="P610" s="113"/>
      <c r="Q610" s="113">
        <v>47965.28</v>
      </c>
      <c r="R610" s="113">
        <v>877285</v>
      </c>
      <c r="S610" s="121">
        <v>447285</v>
      </c>
      <c r="T610" s="292">
        <f t="shared" si="197"/>
        <v>430000</v>
      </c>
      <c r="U610" s="113"/>
      <c r="V610" s="113"/>
      <c r="W610" s="113"/>
      <c r="X610" s="113"/>
      <c r="Y610" s="113"/>
      <c r="Z610" s="113"/>
      <c r="AA610" s="275"/>
      <c r="AB610" s="113"/>
      <c r="AC610" s="113"/>
      <c r="AD610" s="113"/>
      <c r="AE610" s="133"/>
      <c r="AF610" s="115"/>
      <c r="AG610" s="133"/>
      <c r="AH610" s="133"/>
      <c r="AI610" s="132">
        <f t="shared" si="194"/>
        <v>447285</v>
      </c>
      <c r="AJ610" s="132">
        <f t="shared" si="195"/>
        <v>447285</v>
      </c>
      <c r="AK610" s="133">
        <f t="shared" si="196"/>
        <v>0</v>
      </c>
      <c r="AL610" s="310"/>
      <c r="AM610" s="133" t="s">
        <v>886</v>
      </c>
      <c r="AN610" s="246">
        <v>44844</v>
      </c>
      <c r="AO610" s="100"/>
    </row>
    <row r="611" s="96" customFormat="1" customHeight="1" spans="1:41">
      <c r="A611" s="115" t="s">
        <v>6199</v>
      </c>
      <c r="B611" s="111" t="s">
        <v>6200</v>
      </c>
      <c r="C611" s="554" t="s">
        <v>6201</v>
      </c>
      <c r="D611" s="113" t="s">
        <v>6202</v>
      </c>
      <c r="E611" s="113" t="s">
        <v>6203</v>
      </c>
      <c r="F611" s="267">
        <v>4</v>
      </c>
      <c r="G611" s="268">
        <v>4334</v>
      </c>
      <c r="H611" s="274">
        <v>56.88</v>
      </c>
      <c r="I611" s="274" t="s">
        <v>2657</v>
      </c>
      <c r="J611" s="113" t="s">
        <v>6204</v>
      </c>
      <c r="K611" s="116">
        <v>50.62</v>
      </c>
      <c r="L611" s="266" t="s">
        <v>5453</v>
      </c>
      <c r="M611" s="266" t="s">
        <v>2718</v>
      </c>
      <c r="N611" s="113" t="s">
        <v>66</v>
      </c>
      <c r="O611" s="113"/>
      <c r="P611" s="113"/>
      <c r="Q611" s="113">
        <v>25668.07</v>
      </c>
      <c r="R611" s="113">
        <v>1460000</v>
      </c>
      <c r="S611" s="121">
        <v>1460000</v>
      </c>
      <c r="T611" s="292">
        <f t="shared" si="197"/>
        <v>0</v>
      </c>
      <c r="U611" s="113"/>
      <c r="V611" s="113">
        <v>3697</v>
      </c>
      <c r="W611" s="113">
        <v>550</v>
      </c>
      <c r="X611" s="113"/>
      <c r="Y611" s="113"/>
      <c r="Z611" s="113"/>
      <c r="AA611" s="113"/>
      <c r="AB611" s="113"/>
      <c r="AC611" s="321"/>
      <c r="AD611" s="115"/>
      <c r="AE611" s="115"/>
      <c r="AF611" s="115"/>
      <c r="AG611" s="115"/>
      <c r="AH611" s="115"/>
      <c r="AI611" s="132">
        <f t="shared" si="194"/>
        <v>1464247</v>
      </c>
      <c r="AJ611" s="132">
        <f t="shared" si="195"/>
        <v>1464247</v>
      </c>
      <c r="AK611" s="133">
        <f t="shared" si="196"/>
        <v>0</v>
      </c>
      <c r="AL611" s="115"/>
      <c r="AM611" s="115" t="s">
        <v>974</v>
      </c>
      <c r="AN611" s="246">
        <v>44845</v>
      </c>
      <c r="AO611" s="100"/>
    </row>
    <row r="612" s="96" customFormat="1" customHeight="1" spans="1:41">
      <c r="A612" s="115" t="s">
        <v>6205</v>
      </c>
      <c r="B612" s="111" t="s">
        <v>6206</v>
      </c>
      <c r="C612" s="111" t="s">
        <v>6207</v>
      </c>
      <c r="D612" s="121" t="s">
        <v>6208</v>
      </c>
      <c r="E612" s="113">
        <v>13937170887</v>
      </c>
      <c r="F612" s="267">
        <v>3</v>
      </c>
      <c r="G612" s="268">
        <v>3634</v>
      </c>
      <c r="H612" s="274">
        <v>20.12</v>
      </c>
      <c r="I612" s="274" t="s">
        <v>2657</v>
      </c>
      <c r="J612" s="113" t="s">
        <v>6209</v>
      </c>
      <c r="K612" s="113">
        <v>19.82</v>
      </c>
      <c r="L612" s="266" t="s">
        <v>3073</v>
      </c>
      <c r="M612" s="266" t="s">
        <v>3772</v>
      </c>
      <c r="N612" s="113" t="s">
        <v>56</v>
      </c>
      <c r="O612" s="113"/>
      <c r="P612" s="113"/>
      <c r="Q612" s="113">
        <v>30209.33</v>
      </c>
      <c r="R612" s="113">
        <v>607812</v>
      </c>
      <c r="S612" s="121">
        <v>607812</v>
      </c>
      <c r="T612" s="292">
        <f t="shared" si="197"/>
        <v>0</v>
      </c>
      <c r="U612" s="113"/>
      <c r="V612" s="113">
        <v>1307</v>
      </c>
      <c r="W612" s="113">
        <v>550</v>
      </c>
      <c r="X612" s="113"/>
      <c r="Y612" s="113" t="s">
        <v>2669</v>
      </c>
      <c r="Z612" s="113"/>
      <c r="AA612" s="113"/>
      <c r="AB612" s="113"/>
      <c r="AC612" s="321"/>
      <c r="AD612" s="115"/>
      <c r="AE612" s="115"/>
      <c r="AF612" s="115"/>
      <c r="AG612" s="115"/>
      <c r="AH612" s="115"/>
      <c r="AI612" s="132">
        <f t="shared" ref="AI612:AI620" si="198">S612+U612+V612+W612+X612+AC612+AD612+AE612</f>
        <v>609669</v>
      </c>
      <c r="AJ612" s="132">
        <f t="shared" ref="AJ612:AJ620" si="199">S612+U612+V612+W612+X612</f>
        <v>609669</v>
      </c>
      <c r="AK612" s="133">
        <f t="shared" ref="AK612:AK620" si="200">AI612-AJ612</f>
        <v>0</v>
      </c>
      <c r="AL612" s="115" t="s">
        <v>6210</v>
      </c>
      <c r="AM612" s="115" t="s">
        <v>974</v>
      </c>
      <c r="AN612" s="246">
        <v>44845</v>
      </c>
      <c r="AO612" s="100"/>
    </row>
    <row r="613" s="252" customFormat="1" customHeight="1" spans="1:44">
      <c r="A613" s="115" t="s">
        <v>6211</v>
      </c>
      <c r="B613" s="111" t="s">
        <v>6212</v>
      </c>
      <c r="C613" s="554" t="s">
        <v>6213</v>
      </c>
      <c r="D613" s="113" t="s">
        <v>6214</v>
      </c>
      <c r="E613" s="113">
        <v>15838378278</v>
      </c>
      <c r="F613" s="267">
        <v>1</v>
      </c>
      <c r="G613" s="268">
        <v>1783</v>
      </c>
      <c r="H613" s="274">
        <v>37.23</v>
      </c>
      <c r="I613" s="274" t="s">
        <v>2657</v>
      </c>
      <c r="J613" s="113" t="s">
        <v>6215</v>
      </c>
      <c r="K613" s="113">
        <v>46.74</v>
      </c>
      <c r="L613" s="266" t="s">
        <v>4356</v>
      </c>
      <c r="M613" s="266" t="s">
        <v>3824</v>
      </c>
      <c r="N613" s="113" t="s">
        <v>56</v>
      </c>
      <c r="O613" s="113"/>
      <c r="P613" s="113"/>
      <c r="Q613" s="113">
        <v>42500</v>
      </c>
      <c r="R613" s="113">
        <v>1582275</v>
      </c>
      <c r="S613" s="121">
        <v>1582275</v>
      </c>
      <c r="T613" s="292">
        <f t="shared" si="197"/>
        <v>0</v>
      </c>
      <c r="U613" s="113"/>
      <c r="V613" s="113">
        <v>2419</v>
      </c>
      <c r="W613" s="113">
        <v>550</v>
      </c>
      <c r="X613" s="113">
        <v>401206</v>
      </c>
      <c r="Y613" s="113" t="s">
        <v>2669</v>
      </c>
      <c r="Z613" s="113" t="s">
        <v>48</v>
      </c>
      <c r="AA613" s="305">
        <v>44078</v>
      </c>
      <c r="AB613" s="113"/>
      <c r="AC613" s="321"/>
      <c r="AD613" s="115"/>
      <c r="AE613" s="133"/>
      <c r="AF613" s="115"/>
      <c r="AG613" s="115"/>
      <c r="AH613" s="133">
        <v>401206</v>
      </c>
      <c r="AI613" s="132">
        <f t="shared" si="198"/>
        <v>1986450</v>
      </c>
      <c r="AJ613" s="132">
        <f t="shared" si="199"/>
        <v>1986450</v>
      </c>
      <c r="AK613" s="133">
        <f t="shared" si="200"/>
        <v>0</v>
      </c>
      <c r="AL613" s="115"/>
      <c r="AM613" s="115" t="s">
        <v>974</v>
      </c>
      <c r="AN613" s="246">
        <v>44845</v>
      </c>
      <c r="AO613" s="100"/>
      <c r="AP613" s="96"/>
      <c r="AQ613" s="96"/>
      <c r="AR613" s="96"/>
    </row>
    <row r="614" s="252" customFormat="1" customHeight="1" spans="1:44">
      <c r="A614" s="115" t="s">
        <v>6216</v>
      </c>
      <c r="B614" s="111" t="s">
        <v>6217</v>
      </c>
      <c r="C614" s="111" t="s">
        <v>6218</v>
      </c>
      <c r="D614" s="121" t="s">
        <v>6219</v>
      </c>
      <c r="E614" s="113">
        <v>18625538680</v>
      </c>
      <c r="F614" s="267">
        <v>3</v>
      </c>
      <c r="G614" s="268">
        <v>3829</v>
      </c>
      <c r="H614" s="274">
        <v>15.3</v>
      </c>
      <c r="I614" s="274" t="s">
        <v>2657</v>
      </c>
      <c r="J614" s="113" t="s">
        <v>6220</v>
      </c>
      <c r="K614" s="113">
        <v>15.38</v>
      </c>
      <c r="L614" s="266" t="s">
        <v>3550</v>
      </c>
      <c r="M614" s="266" t="s">
        <v>3376</v>
      </c>
      <c r="N614" s="113" t="s">
        <v>56</v>
      </c>
      <c r="O614" s="113"/>
      <c r="P614" s="113"/>
      <c r="Q614" s="113">
        <v>31629.19</v>
      </c>
      <c r="R614" s="113">
        <v>483927</v>
      </c>
      <c r="S614" s="121">
        <v>483927</v>
      </c>
      <c r="T614" s="292">
        <f t="shared" si="197"/>
        <v>0</v>
      </c>
      <c r="U614" s="113"/>
      <c r="V614" s="113">
        <v>994</v>
      </c>
      <c r="W614" s="113">
        <v>550</v>
      </c>
      <c r="X614" s="113">
        <v>986</v>
      </c>
      <c r="Y614" s="113" t="s">
        <v>2669</v>
      </c>
      <c r="Z614" s="113" t="s">
        <v>48</v>
      </c>
      <c r="AA614" s="305">
        <v>44188</v>
      </c>
      <c r="AB614" s="113"/>
      <c r="AC614" s="321"/>
      <c r="AD614" s="115"/>
      <c r="AE614" s="115"/>
      <c r="AF614" s="115"/>
      <c r="AG614" s="115"/>
      <c r="AH614" s="115"/>
      <c r="AI614" s="132">
        <f t="shared" si="198"/>
        <v>486457</v>
      </c>
      <c r="AJ614" s="132">
        <f t="shared" si="199"/>
        <v>486457</v>
      </c>
      <c r="AK614" s="133">
        <f t="shared" si="200"/>
        <v>0</v>
      </c>
      <c r="AL614" s="115"/>
      <c r="AM614" s="115" t="s">
        <v>974</v>
      </c>
      <c r="AN614" s="246">
        <v>44845</v>
      </c>
      <c r="AO614" s="100"/>
      <c r="AP614" s="96"/>
      <c r="AQ614" s="96"/>
      <c r="AR614" s="96"/>
    </row>
    <row r="615" s="252" customFormat="1" customHeight="1" spans="1:44">
      <c r="A615" s="115" t="s">
        <v>6221</v>
      </c>
      <c r="B615" s="111" t="s">
        <v>6222</v>
      </c>
      <c r="C615" s="111" t="s">
        <v>6223</v>
      </c>
      <c r="D615" s="121" t="s">
        <v>6224</v>
      </c>
      <c r="E615" s="113">
        <v>13733860434</v>
      </c>
      <c r="F615" s="267">
        <v>3</v>
      </c>
      <c r="G615" s="268">
        <v>3583</v>
      </c>
      <c r="H615" s="274">
        <v>24.34</v>
      </c>
      <c r="I615" s="274" t="s">
        <v>2657</v>
      </c>
      <c r="J615" s="113" t="s">
        <v>6225</v>
      </c>
      <c r="K615" s="113">
        <v>22.68</v>
      </c>
      <c r="L615" s="266" t="s">
        <v>2770</v>
      </c>
      <c r="M615" s="266" t="s">
        <v>3060</v>
      </c>
      <c r="N615" s="113" t="s">
        <v>66</v>
      </c>
      <c r="O615" s="113"/>
      <c r="P615" s="113"/>
      <c r="Q615" s="113">
        <v>31153.4</v>
      </c>
      <c r="R615" s="113">
        <v>706559</v>
      </c>
      <c r="S615" s="121">
        <v>356559</v>
      </c>
      <c r="T615" s="292">
        <f t="shared" si="197"/>
        <v>350000</v>
      </c>
      <c r="U615" s="113"/>
      <c r="V615" s="113"/>
      <c r="W615" s="113"/>
      <c r="X615" s="113"/>
      <c r="Y615" s="113"/>
      <c r="Z615" s="113"/>
      <c r="AA615" s="113"/>
      <c r="AB615" s="113"/>
      <c r="AC615" s="321"/>
      <c r="AD615" s="115"/>
      <c r="AE615" s="115"/>
      <c r="AF615" s="115"/>
      <c r="AG615" s="115"/>
      <c r="AH615" s="115"/>
      <c r="AI615" s="132">
        <f t="shared" si="198"/>
        <v>356559</v>
      </c>
      <c r="AJ615" s="132">
        <f t="shared" si="199"/>
        <v>356559</v>
      </c>
      <c r="AK615" s="133">
        <f t="shared" si="200"/>
        <v>0</v>
      </c>
      <c r="AL615" s="115"/>
      <c r="AM615" s="115" t="s">
        <v>974</v>
      </c>
      <c r="AN615" s="246">
        <v>44845</v>
      </c>
      <c r="AO615" s="100"/>
      <c r="AP615" s="96"/>
      <c r="AQ615" s="96"/>
      <c r="AR615" s="96"/>
    </row>
    <row r="616" s="252" customFormat="1" customHeight="1" spans="1:44">
      <c r="A616" s="115" t="s">
        <v>6226</v>
      </c>
      <c r="B616" s="111" t="s">
        <v>6227</v>
      </c>
      <c r="C616" s="111" t="s">
        <v>6228</v>
      </c>
      <c r="D616" s="121" t="s">
        <v>6229</v>
      </c>
      <c r="E616" s="113">
        <v>13937181771</v>
      </c>
      <c r="F616" s="267">
        <v>3</v>
      </c>
      <c r="G616" s="268">
        <v>3584</v>
      </c>
      <c r="H616" s="274">
        <v>24.34</v>
      </c>
      <c r="I616" s="274" t="s">
        <v>2657</v>
      </c>
      <c r="J616" s="113" t="s">
        <v>6230</v>
      </c>
      <c r="K616" s="113">
        <v>20.68</v>
      </c>
      <c r="L616" s="266" t="s">
        <v>2770</v>
      </c>
      <c r="M616" s="266" t="s">
        <v>3060</v>
      </c>
      <c r="N616" s="113" t="s">
        <v>66</v>
      </c>
      <c r="O616" s="113"/>
      <c r="P616" s="113"/>
      <c r="Q616" s="113">
        <v>31153.43</v>
      </c>
      <c r="R616" s="113">
        <v>644253</v>
      </c>
      <c r="S616" s="121">
        <v>324253</v>
      </c>
      <c r="T616" s="292">
        <f t="shared" si="197"/>
        <v>320000</v>
      </c>
      <c r="U616" s="113"/>
      <c r="V616" s="113"/>
      <c r="W616" s="113"/>
      <c r="X616" s="113"/>
      <c r="Y616" s="113"/>
      <c r="Z616" s="113"/>
      <c r="AA616" s="113"/>
      <c r="AB616" s="113"/>
      <c r="AC616" s="321"/>
      <c r="AD616" s="115"/>
      <c r="AE616" s="115"/>
      <c r="AF616" s="115"/>
      <c r="AG616" s="115"/>
      <c r="AH616" s="115"/>
      <c r="AI616" s="132">
        <f t="shared" si="198"/>
        <v>324253</v>
      </c>
      <c r="AJ616" s="132">
        <f t="shared" si="199"/>
        <v>324253</v>
      </c>
      <c r="AK616" s="133">
        <f t="shared" si="200"/>
        <v>0</v>
      </c>
      <c r="AL616" s="115"/>
      <c r="AM616" s="115" t="s">
        <v>974</v>
      </c>
      <c r="AN616" s="246">
        <v>44845</v>
      </c>
      <c r="AO616" s="100"/>
      <c r="AP616" s="96"/>
      <c r="AQ616" s="96"/>
      <c r="AR616" s="96"/>
    </row>
    <row r="617" s="252" customFormat="1" customHeight="1" spans="1:44">
      <c r="A617" s="115" t="s">
        <v>6231</v>
      </c>
      <c r="B617" s="111" t="s">
        <v>6232</v>
      </c>
      <c r="C617" s="111" t="s">
        <v>6233</v>
      </c>
      <c r="D617" s="121" t="s">
        <v>6234</v>
      </c>
      <c r="E617" s="113">
        <v>13137666183</v>
      </c>
      <c r="F617" s="267">
        <v>3</v>
      </c>
      <c r="G617" s="268">
        <v>3585</v>
      </c>
      <c r="H617" s="274">
        <v>14.22</v>
      </c>
      <c r="I617" s="274" t="s">
        <v>2657</v>
      </c>
      <c r="J617" s="113" t="s">
        <v>6235</v>
      </c>
      <c r="K617" s="113">
        <v>13.36</v>
      </c>
      <c r="L617" s="266" t="s">
        <v>3060</v>
      </c>
      <c r="M617" s="266" t="s">
        <v>3060</v>
      </c>
      <c r="N617" s="113" t="s">
        <v>66</v>
      </c>
      <c r="O617" s="113"/>
      <c r="P617" s="113"/>
      <c r="Q617" s="113">
        <v>31764.22</v>
      </c>
      <c r="R617" s="113">
        <v>424370</v>
      </c>
      <c r="S617" s="121">
        <v>214370</v>
      </c>
      <c r="T617" s="292">
        <f t="shared" si="197"/>
        <v>210000</v>
      </c>
      <c r="U617" s="113"/>
      <c r="V617" s="113"/>
      <c r="W617" s="113"/>
      <c r="X617" s="113"/>
      <c r="Y617" s="113"/>
      <c r="Z617" s="113"/>
      <c r="AA617" s="113"/>
      <c r="AB617" s="113"/>
      <c r="AC617" s="321"/>
      <c r="AD617" s="115"/>
      <c r="AE617" s="115"/>
      <c r="AF617" s="115"/>
      <c r="AG617" s="115"/>
      <c r="AH617" s="115"/>
      <c r="AI617" s="132">
        <f t="shared" si="198"/>
        <v>214370</v>
      </c>
      <c r="AJ617" s="132">
        <f t="shared" si="199"/>
        <v>214370</v>
      </c>
      <c r="AK617" s="133">
        <f t="shared" si="200"/>
        <v>0</v>
      </c>
      <c r="AL617" s="115"/>
      <c r="AM617" s="115" t="s">
        <v>974</v>
      </c>
      <c r="AN617" s="246">
        <v>44845</v>
      </c>
      <c r="AO617" s="100"/>
      <c r="AP617" s="96"/>
      <c r="AQ617" s="96"/>
      <c r="AR617" s="96"/>
    </row>
    <row r="618" s="252" customFormat="1" customHeight="1" spans="1:44">
      <c r="A618" s="115" t="s">
        <v>6236</v>
      </c>
      <c r="B618" s="111" t="s">
        <v>6237</v>
      </c>
      <c r="C618" s="111" t="s">
        <v>6238</v>
      </c>
      <c r="D618" s="121" t="s">
        <v>6239</v>
      </c>
      <c r="E618" s="113" t="s">
        <v>6240</v>
      </c>
      <c r="F618" s="267">
        <v>3</v>
      </c>
      <c r="G618" s="268">
        <v>3582</v>
      </c>
      <c r="H618" s="274">
        <v>25.5</v>
      </c>
      <c r="I618" s="274" t="s">
        <v>2657</v>
      </c>
      <c r="J618" s="113" t="s">
        <v>6241</v>
      </c>
      <c r="K618" s="113">
        <v>20.2</v>
      </c>
      <c r="L618" s="266" t="s">
        <v>2770</v>
      </c>
      <c r="M618" s="266" t="s">
        <v>3060</v>
      </c>
      <c r="N618" s="113" t="s">
        <v>66</v>
      </c>
      <c r="O618" s="113"/>
      <c r="P618" s="113"/>
      <c r="Q618" s="113">
        <v>31153.42</v>
      </c>
      <c r="R618" s="113">
        <v>629299</v>
      </c>
      <c r="S618" s="121">
        <v>319299</v>
      </c>
      <c r="T618" s="292">
        <f t="shared" si="197"/>
        <v>310000</v>
      </c>
      <c r="U618" s="113"/>
      <c r="V618" s="113"/>
      <c r="W618" s="113"/>
      <c r="X618" s="113"/>
      <c r="Y618" s="113"/>
      <c r="Z618" s="113"/>
      <c r="AA618" s="113"/>
      <c r="AB618" s="113" t="s">
        <v>6242</v>
      </c>
      <c r="AC618" s="321"/>
      <c r="AD618" s="115"/>
      <c r="AE618" s="115"/>
      <c r="AF618" s="115"/>
      <c r="AG618" s="115"/>
      <c r="AH618" s="115"/>
      <c r="AI618" s="132">
        <f t="shared" si="198"/>
        <v>319299</v>
      </c>
      <c r="AJ618" s="132">
        <f t="shared" si="199"/>
        <v>319299</v>
      </c>
      <c r="AK618" s="133">
        <f t="shared" si="200"/>
        <v>0</v>
      </c>
      <c r="AL618" s="115"/>
      <c r="AM618" s="115" t="s">
        <v>974</v>
      </c>
      <c r="AN618" s="246">
        <v>44845</v>
      </c>
      <c r="AO618" s="100"/>
      <c r="AP618" s="96"/>
      <c r="AQ618" s="96"/>
      <c r="AR618" s="96"/>
    </row>
    <row r="619" s="252" customFormat="1" customHeight="1" spans="1:44">
      <c r="A619" s="115" t="s">
        <v>6243</v>
      </c>
      <c r="B619" s="111" t="s">
        <v>6244</v>
      </c>
      <c r="C619" s="111" t="s">
        <v>6245</v>
      </c>
      <c r="D619" s="113" t="s">
        <v>6246</v>
      </c>
      <c r="E619" s="113"/>
      <c r="F619" s="267">
        <v>4</v>
      </c>
      <c r="G619" s="268">
        <v>4371</v>
      </c>
      <c r="H619" s="274">
        <v>14.33</v>
      </c>
      <c r="I619" s="274" t="s">
        <v>2657</v>
      </c>
      <c r="J619" s="113" t="s">
        <v>6247</v>
      </c>
      <c r="K619" s="113">
        <v>13.6</v>
      </c>
      <c r="L619" s="266" t="s">
        <v>2968</v>
      </c>
      <c r="M619" s="266" t="s">
        <v>2968</v>
      </c>
      <c r="N619" s="113" t="s">
        <v>56</v>
      </c>
      <c r="O619" s="113"/>
      <c r="P619" s="113"/>
      <c r="Q619" s="113">
        <v>23000</v>
      </c>
      <c r="R619" s="113">
        <v>312800</v>
      </c>
      <c r="S619" s="121">
        <v>312800</v>
      </c>
      <c r="T619" s="292">
        <f t="shared" si="197"/>
        <v>0</v>
      </c>
      <c r="U619" s="113"/>
      <c r="V619" s="113"/>
      <c r="W619" s="113"/>
      <c r="X619" s="113"/>
      <c r="Y619" s="113"/>
      <c r="Z619" s="113"/>
      <c r="AA619" s="113"/>
      <c r="AB619" s="113"/>
      <c r="AC619" s="321"/>
      <c r="AD619" s="115"/>
      <c r="AE619" s="115"/>
      <c r="AF619" s="115"/>
      <c r="AG619" s="115"/>
      <c r="AH619" s="115"/>
      <c r="AI619" s="132">
        <f t="shared" si="198"/>
        <v>312800</v>
      </c>
      <c r="AJ619" s="132">
        <f t="shared" si="199"/>
        <v>312800</v>
      </c>
      <c r="AK619" s="133">
        <f t="shared" si="200"/>
        <v>0</v>
      </c>
      <c r="AL619" s="115"/>
      <c r="AM619" s="115" t="s">
        <v>974</v>
      </c>
      <c r="AN619" s="246">
        <v>44845</v>
      </c>
      <c r="AO619" s="100"/>
      <c r="AP619" s="96"/>
      <c r="AQ619" s="96"/>
      <c r="AR619" s="96"/>
    </row>
    <row r="620" s="252" customFormat="1" customHeight="1" spans="1:44">
      <c r="A620" s="115" t="s">
        <v>6248</v>
      </c>
      <c r="B620" s="111" t="s">
        <v>6249</v>
      </c>
      <c r="C620" s="111" t="s">
        <v>6250</v>
      </c>
      <c r="D620" s="113" t="s">
        <v>6251</v>
      </c>
      <c r="E620" s="113">
        <v>15237420042</v>
      </c>
      <c r="F620" s="267">
        <v>4</v>
      </c>
      <c r="G620" s="268">
        <v>4337</v>
      </c>
      <c r="H620" s="274">
        <v>50.68</v>
      </c>
      <c r="I620" s="274" t="s">
        <v>2657</v>
      </c>
      <c r="J620" s="113" t="s">
        <v>6252</v>
      </c>
      <c r="K620" s="116">
        <v>44.58</v>
      </c>
      <c r="L620" s="266" t="s">
        <v>3042</v>
      </c>
      <c r="M620" s="266" t="s">
        <v>3824</v>
      </c>
      <c r="N620" s="113" t="s">
        <v>66</v>
      </c>
      <c r="O620" s="113"/>
      <c r="P620" s="113"/>
      <c r="Q620" s="113">
        <v>25264.21</v>
      </c>
      <c r="R620" s="113">
        <v>1280390</v>
      </c>
      <c r="S620" s="121">
        <v>640390</v>
      </c>
      <c r="T620" s="292">
        <f t="shared" si="197"/>
        <v>640000</v>
      </c>
      <c r="U620" s="113"/>
      <c r="V620" s="113">
        <v>3294</v>
      </c>
      <c r="W620" s="113">
        <v>560</v>
      </c>
      <c r="X620" s="113"/>
      <c r="Y620" s="113" t="s">
        <v>2669</v>
      </c>
      <c r="Z620" s="113"/>
      <c r="AA620" s="113"/>
      <c r="AB620" s="113"/>
      <c r="AC620" s="321"/>
      <c r="AD620" s="115"/>
      <c r="AE620" s="115"/>
      <c r="AF620" s="115"/>
      <c r="AG620" s="115"/>
      <c r="AH620" s="115"/>
      <c r="AI620" s="132">
        <f t="shared" ref="AI620:AI635" si="201">S620+U620+V620+W620+X620+AC620+AD620+AE620</f>
        <v>644244</v>
      </c>
      <c r="AJ620" s="132">
        <f t="shared" ref="AJ620:AJ635" si="202">S620+U620+V620+W620+X620</f>
        <v>644244</v>
      </c>
      <c r="AK620" s="133">
        <f t="shared" ref="AK620:AK635" si="203">AI620-AJ620</f>
        <v>0</v>
      </c>
      <c r="AL620" s="115"/>
      <c r="AM620" s="115" t="s">
        <v>974</v>
      </c>
      <c r="AN620" s="246">
        <v>44845</v>
      </c>
      <c r="AO620" s="100"/>
      <c r="AP620" s="96"/>
      <c r="AQ620" s="96"/>
      <c r="AR620" s="96"/>
    </row>
    <row r="621" s="252" customFormat="1" customHeight="1" spans="1:44">
      <c r="A621" s="115" t="s">
        <v>6253</v>
      </c>
      <c r="B621" s="111" t="s">
        <v>6254</v>
      </c>
      <c r="C621" s="554" t="s">
        <v>6255</v>
      </c>
      <c r="D621" s="113" t="s">
        <v>6256</v>
      </c>
      <c r="E621" s="113">
        <v>18337758095</v>
      </c>
      <c r="F621" s="267">
        <v>4</v>
      </c>
      <c r="G621" s="268">
        <v>4370</v>
      </c>
      <c r="H621" s="274">
        <v>15.47</v>
      </c>
      <c r="I621" s="274" t="s">
        <v>2657</v>
      </c>
      <c r="J621" s="113" t="s">
        <v>6257</v>
      </c>
      <c r="K621" s="116">
        <v>12.76</v>
      </c>
      <c r="L621" s="266" t="s">
        <v>2968</v>
      </c>
      <c r="M621" s="266" t="s">
        <v>2968</v>
      </c>
      <c r="N621" s="113" t="s">
        <v>56</v>
      </c>
      <c r="O621" s="113"/>
      <c r="P621" s="113"/>
      <c r="Q621" s="113">
        <v>23000</v>
      </c>
      <c r="R621" s="113">
        <v>293480</v>
      </c>
      <c r="S621" s="121">
        <v>293480</v>
      </c>
      <c r="T621" s="292">
        <f t="shared" si="197"/>
        <v>0</v>
      </c>
      <c r="U621" s="113"/>
      <c r="V621" s="113"/>
      <c r="W621" s="113"/>
      <c r="X621" s="113"/>
      <c r="Y621" s="113"/>
      <c r="Z621" s="113"/>
      <c r="AA621" s="275"/>
      <c r="AB621" s="113"/>
      <c r="AC621" s="113"/>
      <c r="AD621" s="113"/>
      <c r="AE621" s="133"/>
      <c r="AF621" s="115"/>
      <c r="AG621" s="133"/>
      <c r="AH621" s="133">
        <f>AJ621</f>
        <v>293480</v>
      </c>
      <c r="AI621" s="132">
        <f t="shared" si="201"/>
        <v>293480</v>
      </c>
      <c r="AJ621" s="132">
        <f t="shared" si="202"/>
        <v>293480</v>
      </c>
      <c r="AK621" s="133">
        <f t="shared" si="203"/>
        <v>0</v>
      </c>
      <c r="AL621" s="310"/>
      <c r="AM621" s="133" t="s">
        <v>886</v>
      </c>
      <c r="AN621" s="246">
        <v>44845</v>
      </c>
      <c r="AO621" s="100"/>
      <c r="AP621" s="96"/>
      <c r="AQ621" s="96"/>
      <c r="AR621" s="96"/>
    </row>
    <row r="622" s="252" customFormat="1" customHeight="1" spans="1:44">
      <c r="A622" s="115" t="s">
        <v>6258</v>
      </c>
      <c r="B622" s="111" t="s">
        <v>6259</v>
      </c>
      <c r="C622" s="111" t="s">
        <v>6260</v>
      </c>
      <c r="D622" s="113" t="s">
        <v>6261</v>
      </c>
      <c r="E622" s="113" t="s">
        <v>6262</v>
      </c>
      <c r="F622" s="267">
        <v>3</v>
      </c>
      <c r="G622" s="268">
        <v>3221</v>
      </c>
      <c r="H622" s="274">
        <v>14.5</v>
      </c>
      <c r="I622" s="274" t="s">
        <v>2665</v>
      </c>
      <c r="J622" s="113" t="s">
        <v>6263</v>
      </c>
      <c r="K622" s="116">
        <v>21.88</v>
      </c>
      <c r="L622" s="266" t="s">
        <v>3291</v>
      </c>
      <c r="M622" s="266" t="s">
        <v>6264</v>
      </c>
      <c r="N622" s="113" t="s">
        <v>66</v>
      </c>
      <c r="O622" s="113"/>
      <c r="P622" s="113"/>
      <c r="Q622" s="113">
        <v>27491.82</v>
      </c>
      <c r="R622" s="113">
        <v>601521</v>
      </c>
      <c r="S622" s="121">
        <v>301521</v>
      </c>
      <c r="T622" s="292">
        <f t="shared" si="197"/>
        <v>300000</v>
      </c>
      <c r="U622" s="113"/>
      <c r="V622" s="113"/>
      <c r="W622" s="113"/>
      <c r="X622" s="113"/>
      <c r="Y622" s="113"/>
      <c r="Z622" s="113"/>
      <c r="AA622" s="275"/>
      <c r="AB622" s="113"/>
      <c r="AC622" s="113"/>
      <c r="AD622" s="113"/>
      <c r="AE622" s="133"/>
      <c r="AF622" s="115"/>
      <c r="AG622" s="133"/>
      <c r="AH622" s="133"/>
      <c r="AI622" s="132">
        <f t="shared" si="201"/>
        <v>301521</v>
      </c>
      <c r="AJ622" s="132">
        <f t="shared" si="202"/>
        <v>301521</v>
      </c>
      <c r="AK622" s="133">
        <f t="shared" si="203"/>
        <v>0</v>
      </c>
      <c r="AL622" s="310"/>
      <c r="AM622" s="133" t="s">
        <v>886</v>
      </c>
      <c r="AN622" s="246">
        <v>44845</v>
      </c>
      <c r="AO622" s="100"/>
      <c r="AP622" s="96"/>
      <c r="AQ622" s="96"/>
      <c r="AR622" s="96"/>
    </row>
    <row r="623" s="252" customFormat="1" customHeight="1" spans="1:44">
      <c r="A623" s="115" t="s">
        <v>6265</v>
      </c>
      <c r="B623" s="111" t="s">
        <v>6266</v>
      </c>
      <c r="C623" s="554" t="s">
        <v>6267</v>
      </c>
      <c r="D623" s="113" t="s">
        <v>6268</v>
      </c>
      <c r="E623" s="113">
        <v>13592585718</v>
      </c>
      <c r="F623" s="267">
        <v>4</v>
      </c>
      <c r="G623" s="268">
        <v>4417</v>
      </c>
      <c r="H623" s="274">
        <v>11.14</v>
      </c>
      <c r="I623" s="274" t="s">
        <v>2657</v>
      </c>
      <c r="J623" s="113" t="s">
        <v>6269</v>
      </c>
      <c r="K623" s="116">
        <v>12.68</v>
      </c>
      <c r="L623" s="266" t="s">
        <v>2691</v>
      </c>
      <c r="M623" s="266" t="s">
        <v>5064</v>
      </c>
      <c r="N623" s="113" t="s">
        <v>56</v>
      </c>
      <c r="O623" s="113"/>
      <c r="P623" s="113"/>
      <c r="Q623" s="113">
        <v>26186.91</v>
      </c>
      <c r="R623" s="113">
        <v>291722</v>
      </c>
      <c r="S623" s="121">
        <v>291722</v>
      </c>
      <c r="T623" s="292">
        <f t="shared" si="197"/>
        <v>0</v>
      </c>
      <c r="U623" s="113"/>
      <c r="V623" s="113">
        <v>724</v>
      </c>
      <c r="W623" s="113">
        <v>550</v>
      </c>
      <c r="X623" s="113">
        <v>39054</v>
      </c>
      <c r="Y623" s="113" t="s">
        <v>2669</v>
      </c>
      <c r="Z623" s="113" t="s">
        <v>48</v>
      </c>
      <c r="AA623" s="275">
        <v>44050</v>
      </c>
      <c r="AB623" s="113" t="s">
        <v>6270</v>
      </c>
      <c r="AC623" s="113"/>
      <c r="AD623" s="113"/>
      <c r="AE623" s="133"/>
      <c r="AF623" s="115"/>
      <c r="AG623" s="133"/>
      <c r="AH623" s="133"/>
      <c r="AI623" s="132">
        <f t="shared" si="201"/>
        <v>332050</v>
      </c>
      <c r="AJ623" s="132">
        <f t="shared" si="202"/>
        <v>332050</v>
      </c>
      <c r="AK623" s="133">
        <f t="shared" si="203"/>
        <v>0</v>
      </c>
      <c r="AL623" s="310"/>
      <c r="AM623" s="133" t="s">
        <v>886</v>
      </c>
      <c r="AN623" s="246">
        <v>44845</v>
      </c>
      <c r="AO623" s="100"/>
      <c r="AP623" s="96"/>
      <c r="AQ623" s="96"/>
      <c r="AR623" s="96"/>
    </row>
    <row r="624" s="252" customFormat="1" customHeight="1" spans="1:44">
      <c r="A624" s="115" t="s">
        <v>6271</v>
      </c>
      <c r="B624" s="111" t="s">
        <v>6272</v>
      </c>
      <c r="C624" s="111" t="s">
        <v>6273</v>
      </c>
      <c r="D624" s="113" t="s">
        <v>6274</v>
      </c>
      <c r="E624" s="113">
        <v>13838135369</v>
      </c>
      <c r="F624" s="267">
        <v>4</v>
      </c>
      <c r="G624" s="268">
        <v>4376</v>
      </c>
      <c r="H624" s="274">
        <v>21.75</v>
      </c>
      <c r="I624" s="274" t="s">
        <v>2665</v>
      </c>
      <c r="J624" s="113" t="s">
        <v>6275</v>
      </c>
      <c r="K624" s="116">
        <v>32.23</v>
      </c>
      <c r="L624" s="266" t="s">
        <v>3290</v>
      </c>
      <c r="M624" s="266" t="s">
        <v>3290</v>
      </c>
      <c r="N624" s="113" t="s">
        <v>56</v>
      </c>
      <c r="O624" s="113"/>
      <c r="P624" s="113"/>
      <c r="Q624" s="113">
        <v>20477.82</v>
      </c>
      <c r="R624" s="113">
        <v>660000</v>
      </c>
      <c r="S624" s="121">
        <v>660000</v>
      </c>
      <c r="T624" s="292">
        <f t="shared" si="197"/>
        <v>0</v>
      </c>
      <c r="U624" s="113"/>
      <c r="V624" s="113"/>
      <c r="W624" s="113"/>
      <c r="X624" s="113"/>
      <c r="Y624" s="113"/>
      <c r="Z624" s="113"/>
      <c r="AA624" s="275"/>
      <c r="AB624" s="113"/>
      <c r="AC624" s="113"/>
      <c r="AD624" s="113"/>
      <c r="AE624" s="133"/>
      <c r="AF624" s="115"/>
      <c r="AG624" s="133"/>
      <c r="AH624" s="133"/>
      <c r="AI624" s="132">
        <f t="shared" si="201"/>
        <v>660000</v>
      </c>
      <c r="AJ624" s="132">
        <f t="shared" si="202"/>
        <v>660000</v>
      </c>
      <c r="AK624" s="133">
        <f t="shared" si="203"/>
        <v>0</v>
      </c>
      <c r="AL624" s="310"/>
      <c r="AM624" s="133" t="s">
        <v>886</v>
      </c>
      <c r="AN624" s="246">
        <v>44845</v>
      </c>
      <c r="AO624" s="100"/>
      <c r="AP624" s="96"/>
      <c r="AQ624" s="96"/>
      <c r="AR624" s="96"/>
    </row>
    <row r="625" s="252" customFormat="1" customHeight="1" spans="1:44">
      <c r="A625" s="115" t="s">
        <v>6276</v>
      </c>
      <c r="B625" s="111" t="s">
        <v>6277</v>
      </c>
      <c r="C625" s="111" t="s">
        <v>6278</v>
      </c>
      <c r="D625" s="113" t="s">
        <v>6279</v>
      </c>
      <c r="E625" s="113" t="s">
        <v>6280</v>
      </c>
      <c r="F625" s="267">
        <v>1</v>
      </c>
      <c r="G625" s="268">
        <v>1224</v>
      </c>
      <c r="H625" s="274">
        <v>29.46</v>
      </c>
      <c r="I625" s="274" t="s">
        <v>2657</v>
      </c>
      <c r="J625" s="113" t="s">
        <v>6281</v>
      </c>
      <c r="K625" s="116">
        <v>27.71</v>
      </c>
      <c r="L625" s="266" t="s">
        <v>4288</v>
      </c>
      <c r="M625" s="266" t="s">
        <v>3029</v>
      </c>
      <c r="N625" s="113" t="s">
        <v>56</v>
      </c>
      <c r="O625" s="113"/>
      <c r="P625" s="113"/>
      <c r="Q625" s="113">
        <v>47574.49</v>
      </c>
      <c r="R625" s="113">
        <v>1318289</v>
      </c>
      <c r="S625" s="121">
        <v>668289</v>
      </c>
      <c r="T625" s="292">
        <f t="shared" si="197"/>
        <v>650000</v>
      </c>
      <c r="U625" s="113"/>
      <c r="V625" s="113"/>
      <c r="W625" s="113"/>
      <c r="X625" s="113"/>
      <c r="Y625" s="113"/>
      <c r="Z625" s="113"/>
      <c r="AA625" s="275"/>
      <c r="AB625" s="113"/>
      <c r="AC625" s="113"/>
      <c r="AD625" s="113"/>
      <c r="AE625" s="133"/>
      <c r="AF625" s="115"/>
      <c r="AG625" s="133"/>
      <c r="AH625" s="133"/>
      <c r="AI625" s="132">
        <f t="shared" si="201"/>
        <v>668289</v>
      </c>
      <c r="AJ625" s="132">
        <f t="shared" si="202"/>
        <v>668289</v>
      </c>
      <c r="AK625" s="133">
        <f t="shared" si="203"/>
        <v>0</v>
      </c>
      <c r="AL625" s="310"/>
      <c r="AM625" s="133" t="s">
        <v>886</v>
      </c>
      <c r="AN625" s="246">
        <v>44845</v>
      </c>
      <c r="AO625" s="100"/>
      <c r="AP625" s="96"/>
      <c r="AQ625" s="96"/>
      <c r="AR625" s="96"/>
    </row>
    <row r="626" s="252" customFormat="1" customHeight="1" spans="1:44">
      <c r="A626" s="115" t="s">
        <v>6282</v>
      </c>
      <c r="B626" s="111" t="s">
        <v>6283</v>
      </c>
      <c r="C626" s="554" t="s">
        <v>6284</v>
      </c>
      <c r="D626" s="113" t="s">
        <v>6285</v>
      </c>
      <c r="E626" s="113">
        <v>19639333337</v>
      </c>
      <c r="F626" s="267">
        <v>3</v>
      </c>
      <c r="G626" s="268">
        <v>3450</v>
      </c>
      <c r="H626" s="274">
        <v>26.09</v>
      </c>
      <c r="I626" s="274" t="s">
        <v>2665</v>
      </c>
      <c r="J626" s="113" t="s">
        <v>6286</v>
      </c>
      <c r="K626" s="116">
        <v>26.18</v>
      </c>
      <c r="L626" s="266" t="s">
        <v>2711</v>
      </c>
      <c r="M626" s="266" t="s">
        <v>4113</v>
      </c>
      <c r="N626" s="113" t="s">
        <v>56</v>
      </c>
      <c r="O626" s="113"/>
      <c r="P626" s="113"/>
      <c r="Q626" s="113">
        <v>21614.9732620321</v>
      </c>
      <c r="R626" s="113">
        <v>563935</v>
      </c>
      <c r="S626" s="121">
        <v>563935</v>
      </c>
      <c r="T626" s="292">
        <f t="shared" si="197"/>
        <v>0</v>
      </c>
      <c r="U626" s="113"/>
      <c r="V626" s="113">
        <v>1695</v>
      </c>
      <c r="W626" s="113">
        <v>550</v>
      </c>
      <c r="X626" s="113"/>
      <c r="Y626" s="113" t="s">
        <v>2669</v>
      </c>
      <c r="Z626" s="113"/>
      <c r="AA626" s="275"/>
      <c r="AB626" s="113"/>
      <c r="AC626" s="113"/>
      <c r="AD626" s="113"/>
      <c r="AE626" s="133"/>
      <c r="AF626" s="115"/>
      <c r="AG626" s="133"/>
      <c r="AH626" s="133"/>
      <c r="AI626" s="132">
        <f t="shared" si="201"/>
        <v>566180</v>
      </c>
      <c r="AJ626" s="132">
        <f t="shared" si="202"/>
        <v>566180</v>
      </c>
      <c r="AK626" s="133">
        <f t="shared" si="203"/>
        <v>0</v>
      </c>
      <c r="AL626" s="310" t="s">
        <v>6287</v>
      </c>
      <c r="AM626" s="133" t="s">
        <v>886</v>
      </c>
      <c r="AN626" s="246">
        <v>44845</v>
      </c>
      <c r="AO626" s="100"/>
      <c r="AP626" s="96"/>
      <c r="AQ626" s="96"/>
      <c r="AR626" s="96"/>
    </row>
    <row r="627" s="252" customFormat="1" customHeight="1" spans="1:44">
      <c r="A627" s="115" t="s">
        <v>6288</v>
      </c>
      <c r="B627" s="111" t="s">
        <v>6289</v>
      </c>
      <c r="C627" s="111" t="s">
        <v>6290</v>
      </c>
      <c r="D627" s="113" t="s">
        <v>6291</v>
      </c>
      <c r="E627" s="113">
        <v>15093046777</v>
      </c>
      <c r="F627" s="267">
        <v>3</v>
      </c>
      <c r="G627" s="268">
        <v>3493</v>
      </c>
      <c r="H627" s="274">
        <v>20.61</v>
      </c>
      <c r="I627" s="274" t="s">
        <v>2657</v>
      </c>
      <c r="J627" s="113" t="s">
        <v>6292</v>
      </c>
      <c r="K627" s="116">
        <v>19.26</v>
      </c>
      <c r="L627" s="266" t="s">
        <v>2842</v>
      </c>
      <c r="M627" s="266" t="s">
        <v>2718</v>
      </c>
      <c r="N627" s="113" t="s">
        <v>2677</v>
      </c>
      <c r="O627" s="113"/>
      <c r="P627" s="113"/>
      <c r="Q627" s="113">
        <v>31100.99</v>
      </c>
      <c r="R627" s="113">
        <v>599005</v>
      </c>
      <c r="S627" s="121">
        <v>309005</v>
      </c>
      <c r="T627" s="292">
        <f t="shared" si="197"/>
        <v>290000</v>
      </c>
      <c r="U627" s="113"/>
      <c r="V627" s="113"/>
      <c r="W627" s="113"/>
      <c r="X627" s="113"/>
      <c r="Y627" s="113"/>
      <c r="Z627" s="113"/>
      <c r="AA627" s="275"/>
      <c r="AB627" s="113"/>
      <c r="AC627" s="113"/>
      <c r="AD627" s="113"/>
      <c r="AE627" s="133"/>
      <c r="AF627" s="115"/>
      <c r="AG627" s="133"/>
      <c r="AH627" s="133"/>
      <c r="AI627" s="132">
        <f t="shared" si="201"/>
        <v>309005</v>
      </c>
      <c r="AJ627" s="132">
        <f t="shared" si="202"/>
        <v>309005</v>
      </c>
      <c r="AK627" s="133">
        <f t="shared" si="203"/>
        <v>0</v>
      </c>
      <c r="AL627" s="310"/>
      <c r="AM627" s="133" t="s">
        <v>886</v>
      </c>
      <c r="AN627" s="246">
        <v>44845</v>
      </c>
      <c r="AO627" s="100"/>
      <c r="AP627" s="96"/>
      <c r="AQ627" s="96"/>
      <c r="AR627" s="96"/>
    </row>
    <row r="628" s="252" customFormat="1" customHeight="1" spans="1:44">
      <c r="A628" s="115" t="s">
        <v>6293</v>
      </c>
      <c r="B628" s="111" t="s">
        <v>6294</v>
      </c>
      <c r="C628" s="111" t="s">
        <v>6295</v>
      </c>
      <c r="D628" s="113" t="s">
        <v>6296</v>
      </c>
      <c r="E628" s="113">
        <v>13838768890</v>
      </c>
      <c r="F628" s="267">
        <v>4</v>
      </c>
      <c r="G628" s="268">
        <v>4365</v>
      </c>
      <c r="H628" s="274">
        <v>15.41</v>
      </c>
      <c r="I628" s="274" t="s">
        <v>2657</v>
      </c>
      <c r="J628" s="113" t="s">
        <v>6297</v>
      </c>
      <c r="K628" s="116">
        <v>13.87</v>
      </c>
      <c r="L628" s="266" t="s">
        <v>2968</v>
      </c>
      <c r="M628" s="266" t="s">
        <v>2968</v>
      </c>
      <c r="N628" s="113" t="s">
        <v>56</v>
      </c>
      <c r="O628" s="113"/>
      <c r="P628" s="113"/>
      <c r="Q628" s="113">
        <v>23000</v>
      </c>
      <c r="R628" s="113">
        <v>319010</v>
      </c>
      <c r="S628" s="121">
        <v>319010</v>
      </c>
      <c r="T628" s="292">
        <f t="shared" si="197"/>
        <v>0</v>
      </c>
      <c r="U628" s="113"/>
      <c r="V628" s="113"/>
      <c r="W628" s="113"/>
      <c r="X628" s="113"/>
      <c r="Y628" s="113"/>
      <c r="Z628" s="113"/>
      <c r="AA628" s="275"/>
      <c r="AB628" s="113"/>
      <c r="AC628" s="113"/>
      <c r="AD628" s="113"/>
      <c r="AE628" s="133"/>
      <c r="AF628" s="115"/>
      <c r="AG628" s="133"/>
      <c r="AH628" s="133">
        <f>AJ628</f>
        <v>319010</v>
      </c>
      <c r="AI628" s="132">
        <f t="shared" si="201"/>
        <v>319010</v>
      </c>
      <c r="AJ628" s="132">
        <f t="shared" si="202"/>
        <v>319010</v>
      </c>
      <c r="AK628" s="133">
        <f t="shared" si="203"/>
        <v>0</v>
      </c>
      <c r="AL628" s="310"/>
      <c r="AM628" s="133" t="s">
        <v>886</v>
      </c>
      <c r="AN628" s="246">
        <v>44845</v>
      </c>
      <c r="AO628" s="100"/>
      <c r="AP628" s="96"/>
      <c r="AQ628" s="96"/>
      <c r="AR628" s="96"/>
    </row>
    <row r="629" s="252" customFormat="1" customHeight="1" spans="1:44">
      <c r="A629" s="115" t="s">
        <v>6298</v>
      </c>
      <c r="B629" s="111" t="s">
        <v>6299</v>
      </c>
      <c r="C629" s="554" t="s">
        <v>6300</v>
      </c>
      <c r="D629" s="113" t="s">
        <v>6301</v>
      </c>
      <c r="E629" s="113" t="s">
        <v>6302</v>
      </c>
      <c r="F629" s="267">
        <v>1</v>
      </c>
      <c r="G629" s="268" t="s">
        <v>6303</v>
      </c>
      <c r="H629" s="274">
        <v>22.42</v>
      </c>
      <c r="I629" s="274" t="s">
        <v>2657</v>
      </c>
      <c r="J629" s="113" t="s">
        <v>6304</v>
      </c>
      <c r="K629" s="116">
        <v>22.66</v>
      </c>
      <c r="L629" s="266" t="s">
        <v>6305</v>
      </c>
      <c r="M629" s="266" t="s">
        <v>6306</v>
      </c>
      <c r="N629" s="113" t="s">
        <v>66</v>
      </c>
      <c r="O629" s="113"/>
      <c r="P629" s="113"/>
      <c r="Q629" s="113">
        <v>47219.77</v>
      </c>
      <c r="R629" s="113">
        <v>1058667</v>
      </c>
      <c r="S629" s="121">
        <v>548667</v>
      </c>
      <c r="T629" s="292">
        <f t="shared" si="197"/>
        <v>510000</v>
      </c>
      <c r="U629" s="113"/>
      <c r="V629" s="113">
        <v>1457</v>
      </c>
      <c r="W629" s="113">
        <v>550</v>
      </c>
      <c r="X629" s="113"/>
      <c r="Y629" s="113" t="s">
        <v>2669</v>
      </c>
      <c r="Z629" s="113"/>
      <c r="AA629" s="113"/>
      <c r="AB629" s="113"/>
      <c r="AC629" s="321"/>
      <c r="AD629" s="115"/>
      <c r="AE629" s="115"/>
      <c r="AF629" s="115"/>
      <c r="AG629" s="115"/>
      <c r="AH629" s="115"/>
      <c r="AI629" s="132">
        <f t="shared" si="201"/>
        <v>550674</v>
      </c>
      <c r="AJ629" s="132">
        <f t="shared" si="202"/>
        <v>550674</v>
      </c>
      <c r="AK629" s="133">
        <f t="shared" si="203"/>
        <v>0</v>
      </c>
      <c r="AL629" s="115"/>
      <c r="AM629" s="115" t="s">
        <v>974</v>
      </c>
      <c r="AN629" s="246">
        <v>44845</v>
      </c>
      <c r="AO629" s="100"/>
      <c r="AP629" s="96"/>
      <c r="AQ629" s="96"/>
      <c r="AR629" s="96"/>
    </row>
    <row r="630" s="96" customFormat="1" customHeight="1" spans="1:41">
      <c r="A630" s="115" t="s">
        <v>6307</v>
      </c>
      <c r="B630" s="111" t="s">
        <v>6308</v>
      </c>
      <c r="C630" s="554" t="s">
        <v>6309</v>
      </c>
      <c r="D630" s="113" t="s">
        <v>6310</v>
      </c>
      <c r="E630" s="113">
        <v>13903716699</v>
      </c>
      <c r="F630" s="267">
        <v>1</v>
      </c>
      <c r="G630" s="268">
        <v>1180</v>
      </c>
      <c r="H630" s="274">
        <v>14.06</v>
      </c>
      <c r="I630" s="274" t="s">
        <v>2657</v>
      </c>
      <c r="J630" s="113" t="s">
        <v>6311</v>
      </c>
      <c r="K630" s="113">
        <v>18.1</v>
      </c>
      <c r="L630" s="266" t="s">
        <v>3297</v>
      </c>
      <c r="M630" s="266" t="s">
        <v>2814</v>
      </c>
      <c r="N630" s="113" t="s">
        <v>56</v>
      </c>
      <c r="O630" s="113"/>
      <c r="P630" s="113"/>
      <c r="Q630" s="113">
        <v>46532.43</v>
      </c>
      <c r="R630" s="113">
        <v>654246</v>
      </c>
      <c r="S630" s="113">
        <v>654246</v>
      </c>
      <c r="T630" s="292">
        <f t="shared" si="197"/>
        <v>0</v>
      </c>
      <c r="U630" s="121"/>
      <c r="V630" s="113">
        <v>913</v>
      </c>
      <c r="W630" s="113">
        <v>550</v>
      </c>
      <c r="X630" s="113"/>
      <c r="Y630" s="113" t="s">
        <v>2669</v>
      </c>
      <c r="Z630" s="113"/>
      <c r="AA630" s="113"/>
      <c r="AB630" s="113"/>
      <c r="AC630" s="321"/>
      <c r="AD630" s="115"/>
      <c r="AE630" s="115"/>
      <c r="AF630" s="115"/>
      <c r="AG630" s="115"/>
      <c r="AH630" s="115"/>
      <c r="AI630" s="132">
        <f t="shared" si="201"/>
        <v>655709</v>
      </c>
      <c r="AJ630" s="132">
        <f t="shared" si="202"/>
        <v>655709</v>
      </c>
      <c r="AK630" s="133">
        <f t="shared" si="203"/>
        <v>0</v>
      </c>
      <c r="AL630" s="115"/>
      <c r="AM630" s="115" t="s">
        <v>974</v>
      </c>
      <c r="AN630" s="246">
        <v>44845</v>
      </c>
      <c r="AO630" s="100"/>
    </row>
    <row r="631" s="96" customFormat="1" customHeight="1" spans="1:41">
      <c r="A631" s="115" t="s">
        <v>6312</v>
      </c>
      <c r="B631" s="111" t="s">
        <v>6313</v>
      </c>
      <c r="C631" s="554" t="s">
        <v>6314</v>
      </c>
      <c r="D631" s="113" t="s">
        <v>6315</v>
      </c>
      <c r="E631" s="113">
        <v>15838370123</v>
      </c>
      <c r="F631" s="267">
        <v>4</v>
      </c>
      <c r="G631" s="268">
        <v>459</v>
      </c>
      <c r="H631" s="274">
        <v>18.54</v>
      </c>
      <c r="I631" s="274" t="s">
        <v>2657</v>
      </c>
      <c r="J631" s="113" t="s">
        <v>6316</v>
      </c>
      <c r="K631" s="113">
        <v>18.67</v>
      </c>
      <c r="L631" s="266" t="s">
        <v>3326</v>
      </c>
      <c r="M631" s="266" t="s">
        <v>3957</v>
      </c>
      <c r="N631" s="113" t="s">
        <v>56</v>
      </c>
      <c r="O631" s="113"/>
      <c r="P631" s="113"/>
      <c r="Q631" s="113">
        <v>24750.88</v>
      </c>
      <c r="R631" s="113">
        <v>458881</v>
      </c>
      <c r="S631" s="121">
        <v>458881</v>
      </c>
      <c r="T631" s="292">
        <f t="shared" si="197"/>
        <v>0</v>
      </c>
      <c r="U631" s="113"/>
      <c r="V631" s="113">
        <v>1205</v>
      </c>
      <c r="W631" s="113">
        <v>560</v>
      </c>
      <c r="X631" s="113">
        <v>1453</v>
      </c>
      <c r="Y631" s="113" t="s">
        <v>2669</v>
      </c>
      <c r="Z631" s="113"/>
      <c r="AA631" s="113"/>
      <c r="AB631" s="113"/>
      <c r="AC631" s="322"/>
      <c r="AD631" s="297"/>
      <c r="AE631" s="297"/>
      <c r="AF631" s="297"/>
      <c r="AG631" s="297"/>
      <c r="AH631" s="297"/>
      <c r="AI631" s="132">
        <f t="shared" si="201"/>
        <v>462099</v>
      </c>
      <c r="AJ631" s="132">
        <f t="shared" si="202"/>
        <v>462099</v>
      </c>
      <c r="AK631" s="133">
        <f t="shared" si="203"/>
        <v>0</v>
      </c>
      <c r="AL631" s="297"/>
      <c r="AM631" s="297" t="s">
        <v>974</v>
      </c>
      <c r="AN631" s="302">
        <v>44845</v>
      </c>
      <c r="AO631" s="100"/>
    </row>
    <row r="632" s="96" customFormat="1" customHeight="1" spans="1:41">
      <c r="A632" s="115" t="s">
        <v>6317</v>
      </c>
      <c r="B632" s="111" t="s">
        <v>6318</v>
      </c>
      <c r="C632" s="554" t="s">
        <v>6319</v>
      </c>
      <c r="D632" s="113" t="s">
        <v>6320</v>
      </c>
      <c r="E632" s="113">
        <v>15838723159</v>
      </c>
      <c r="F632" s="267">
        <v>4</v>
      </c>
      <c r="G632" s="268">
        <v>4388</v>
      </c>
      <c r="H632" s="274">
        <v>12.63</v>
      </c>
      <c r="I632" s="274" t="s">
        <v>2657</v>
      </c>
      <c r="J632" s="113" t="s">
        <v>6321</v>
      </c>
      <c r="K632" s="113">
        <v>11.61</v>
      </c>
      <c r="L632" s="266" t="s">
        <v>2968</v>
      </c>
      <c r="M632" s="266" t="s">
        <v>2968</v>
      </c>
      <c r="N632" s="113" t="s">
        <v>56</v>
      </c>
      <c r="O632" s="113"/>
      <c r="P632" s="113"/>
      <c r="Q632" s="113">
        <v>23000</v>
      </c>
      <c r="R632" s="113">
        <v>267030</v>
      </c>
      <c r="S632" s="121">
        <v>267030</v>
      </c>
      <c r="T632" s="292">
        <f t="shared" si="197"/>
        <v>0</v>
      </c>
      <c r="U632" s="113"/>
      <c r="V632" s="113"/>
      <c r="W632" s="113"/>
      <c r="X632" s="113"/>
      <c r="Y632" s="113"/>
      <c r="Z632" s="113"/>
      <c r="AA632" s="113"/>
      <c r="AB632" s="113"/>
      <c r="AC632" s="323"/>
      <c r="AD632" s="297"/>
      <c r="AE632" s="297"/>
      <c r="AF632" s="297"/>
      <c r="AG632" s="297"/>
      <c r="AH632" s="297"/>
      <c r="AI632" s="132">
        <f t="shared" si="201"/>
        <v>267030</v>
      </c>
      <c r="AJ632" s="132">
        <f t="shared" si="202"/>
        <v>267030</v>
      </c>
      <c r="AK632" s="133">
        <f t="shared" si="203"/>
        <v>0</v>
      </c>
      <c r="AL632" s="297"/>
      <c r="AM632" s="297" t="s">
        <v>974</v>
      </c>
      <c r="AN632" s="302">
        <v>44845</v>
      </c>
      <c r="AO632" s="100"/>
    </row>
    <row r="633" s="96" customFormat="1" customHeight="1" spans="1:41">
      <c r="A633" s="115" t="s">
        <v>6322</v>
      </c>
      <c r="B633" s="111" t="s">
        <v>6323</v>
      </c>
      <c r="C633" s="554" t="s">
        <v>6324</v>
      </c>
      <c r="D633" s="113" t="s">
        <v>6325</v>
      </c>
      <c r="E633" s="113">
        <v>15838723159</v>
      </c>
      <c r="F633" s="267">
        <v>4</v>
      </c>
      <c r="G633" s="268">
        <v>4372</v>
      </c>
      <c r="H633" s="274">
        <v>14.43</v>
      </c>
      <c r="I633" s="274" t="s">
        <v>2657</v>
      </c>
      <c r="J633" s="113" t="s">
        <v>6326</v>
      </c>
      <c r="K633" s="113">
        <v>13.77</v>
      </c>
      <c r="L633" s="266" t="s">
        <v>4112</v>
      </c>
      <c r="M633" s="266" t="s">
        <v>4271</v>
      </c>
      <c r="N633" s="113" t="s">
        <v>56</v>
      </c>
      <c r="O633" s="113"/>
      <c r="P633" s="113"/>
      <c r="Q633" s="113">
        <v>25979.59</v>
      </c>
      <c r="R633" s="113">
        <v>374885</v>
      </c>
      <c r="S633" s="121">
        <v>374885</v>
      </c>
      <c r="T633" s="292">
        <f t="shared" si="197"/>
        <v>0</v>
      </c>
      <c r="U633" s="113"/>
      <c r="V633" s="113">
        <v>937</v>
      </c>
      <c r="W633" s="113">
        <v>550</v>
      </c>
      <c r="X633" s="113"/>
      <c r="Y633" s="113" t="s">
        <v>2669</v>
      </c>
      <c r="Z633" s="113"/>
      <c r="AA633" s="113"/>
      <c r="AB633" s="113"/>
      <c r="AC633" s="321"/>
      <c r="AD633" s="115"/>
      <c r="AE633" s="115"/>
      <c r="AF633" s="115"/>
      <c r="AG633" s="115"/>
      <c r="AH633" s="115"/>
      <c r="AI633" s="132">
        <f t="shared" si="201"/>
        <v>376372</v>
      </c>
      <c r="AJ633" s="132">
        <f t="shared" si="202"/>
        <v>376372</v>
      </c>
      <c r="AK633" s="133">
        <f t="shared" si="203"/>
        <v>0</v>
      </c>
      <c r="AL633" s="115"/>
      <c r="AM633" s="115" t="s">
        <v>974</v>
      </c>
      <c r="AN633" s="246">
        <v>44845</v>
      </c>
      <c r="AO633" s="100"/>
    </row>
    <row r="634" s="96" customFormat="1" customHeight="1" spans="1:41">
      <c r="A634" s="115" t="s">
        <v>6327</v>
      </c>
      <c r="B634" s="111" t="s">
        <v>6328</v>
      </c>
      <c r="C634" s="554" t="s">
        <v>6329</v>
      </c>
      <c r="D634" s="113" t="s">
        <v>6330</v>
      </c>
      <c r="E634" s="113">
        <v>18537113622</v>
      </c>
      <c r="F634" s="267">
        <v>4</v>
      </c>
      <c r="G634" s="268">
        <v>4332</v>
      </c>
      <c r="H634" s="274">
        <v>37.99</v>
      </c>
      <c r="I634" s="274" t="s">
        <v>2657</v>
      </c>
      <c r="J634" s="113" t="s">
        <v>6331</v>
      </c>
      <c r="K634" s="116">
        <v>35.14</v>
      </c>
      <c r="L634" s="266" t="s">
        <v>2762</v>
      </c>
      <c r="M634" s="266" t="s">
        <v>2854</v>
      </c>
      <c r="N634" s="113" t="s">
        <v>56</v>
      </c>
      <c r="O634" s="113"/>
      <c r="P634" s="113"/>
      <c r="Q634" s="113">
        <v>25794.02</v>
      </c>
      <c r="R634" s="113">
        <v>906402</v>
      </c>
      <c r="S634" s="121">
        <v>906402</v>
      </c>
      <c r="T634" s="292">
        <f t="shared" si="197"/>
        <v>0</v>
      </c>
      <c r="U634" s="113"/>
      <c r="V634" s="113"/>
      <c r="W634" s="113"/>
      <c r="X634" s="113"/>
      <c r="Y634" s="113"/>
      <c r="Z634" s="113"/>
      <c r="AA634" s="113"/>
      <c r="AB634" s="113"/>
      <c r="AC634" s="321"/>
      <c r="AD634" s="115"/>
      <c r="AE634" s="115"/>
      <c r="AF634" s="115"/>
      <c r="AG634" s="115"/>
      <c r="AH634" s="115"/>
      <c r="AI634" s="132">
        <f t="shared" si="201"/>
        <v>906402</v>
      </c>
      <c r="AJ634" s="132">
        <f t="shared" si="202"/>
        <v>906402</v>
      </c>
      <c r="AK634" s="133">
        <f t="shared" si="203"/>
        <v>0</v>
      </c>
      <c r="AL634" s="115"/>
      <c r="AM634" s="115" t="s">
        <v>974</v>
      </c>
      <c r="AN634" s="246">
        <v>44845</v>
      </c>
      <c r="AO634" s="100"/>
    </row>
    <row r="635" s="96" customFormat="1" customHeight="1" spans="1:42">
      <c r="A635" s="115" t="s">
        <v>6332</v>
      </c>
      <c r="B635" s="111" t="s">
        <v>6333</v>
      </c>
      <c r="C635" s="554" t="s">
        <v>6334</v>
      </c>
      <c r="D635" s="113" t="s">
        <v>6335</v>
      </c>
      <c r="E635" s="113">
        <v>13333851576</v>
      </c>
      <c r="F635" s="267">
        <v>4</v>
      </c>
      <c r="G635" s="268">
        <v>4534</v>
      </c>
      <c r="H635" s="274">
        <v>11.36</v>
      </c>
      <c r="I635" s="274" t="s">
        <v>2657</v>
      </c>
      <c r="J635" s="113" t="s">
        <v>6336</v>
      </c>
      <c r="K635" s="113">
        <v>9.24</v>
      </c>
      <c r="L635" s="266" t="s">
        <v>2705</v>
      </c>
      <c r="M635" s="266" t="s">
        <v>2705</v>
      </c>
      <c r="N635" s="113" t="s">
        <v>66</v>
      </c>
      <c r="O635" s="113"/>
      <c r="P635" s="113"/>
      <c r="Q635" s="113">
        <v>26287.66</v>
      </c>
      <c r="R635" s="113">
        <v>242898</v>
      </c>
      <c r="S635" s="121">
        <v>122898</v>
      </c>
      <c r="T635" s="292">
        <f t="shared" si="197"/>
        <v>120000</v>
      </c>
      <c r="U635" s="113"/>
      <c r="V635" s="113"/>
      <c r="W635" s="113"/>
      <c r="X635" s="113"/>
      <c r="Y635" s="113"/>
      <c r="Z635" s="113"/>
      <c r="AA635" s="113"/>
      <c r="AB635" s="113"/>
      <c r="AC635" s="321"/>
      <c r="AD635" s="115"/>
      <c r="AE635" s="115"/>
      <c r="AF635" s="115"/>
      <c r="AG635" s="115"/>
      <c r="AH635" s="115"/>
      <c r="AI635" s="132">
        <f t="shared" si="201"/>
        <v>122898</v>
      </c>
      <c r="AJ635" s="132">
        <f t="shared" si="202"/>
        <v>122898</v>
      </c>
      <c r="AK635" s="133">
        <f t="shared" si="203"/>
        <v>0</v>
      </c>
      <c r="AL635" s="115"/>
      <c r="AM635" s="115" t="s">
        <v>974</v>
      </c>
      <c r="AN635" s="246">
        <v>44845</v>
      </c>
      <c r="AO635" s="259"/>
      <c r="AP635" s="259"/>
    </row>
    <row r="636" s="96" customFormat="1" customHeight="1" spans="1:41">
      <c r="A636" s="115" t="s">
        <v>6337</v>
      </c>
      <c r="B636" s="111" t="s">
        <v>6338</v>
      </c>
      <c r="C636" s="111" t="s">
        <v>6339</v>
      </c>
      <c r="D636" s="121"/>
      <c r="E636" s="113">
        <v>18689800418</v>
      </c>
      <c r="F636" s="267">
        <v>3</v>
      </c>
      <c r="G636" s="268">
        <v>3841</v>
      </c>
      <c r="H636" s="274">
        <v>13.11</v>
      </c>
      <c r="I636" s="274" t="s">
        <v>2657</v>
      </c>
      <c r="J636" s="113" t="s">
        <v>6340</v>
      </c>
      <c r="K636" s="113">
        <v>11.37</v>
      </c>
      <c r="L636" s="266" t="s">
        <v>3049</v>
      </c>
      <c r="M636" s="266" t="s">
        <v>3634</v>
      </c>
      <c r="N636" s="113" t="s">
        <v>66</v>
      </c>
      <c r="O636" s="113"/>
      <c r="P636" s="113"/>
      <c r="Q636" s="113">
        <v>32606.68</v>
      </c>
      <c r="R636" s="113">
        <v>370738</v>
      </c>
      <c r="S636" s="121">
        <v>190738</v>
      </c>
      <c r="T636" s="292">
        <f t="shared" ref="T636:T668" si="204">R636-S636</f>
        <v>180000</v>
      </c>
      <c r="U636" s="113"/>
      <c r="V636" s="113"/>
      <c r="W636" s="113"/>
      <c r="X636" s="113"/>
      <c r="Y636" s="113"/>
      <c r="Z636" s="113"/>
      <c r="AA636" s="113"/>
      <c r="AB636" s="113" t="s">
        <v>6341</v>
      </c>
      <c r="AC636" s="321"/>
      <c r="AD636" s="115"/>
      <c r="AE636" s="115"/>
      <c r="AF636" s="115"/>
      <c r="AG636" s="115"/>
      <c r="AH636" s="115"/>
      <c r="AI636" s="132">
        <f t="shared" ref="AI636:AI648" si="205">S636+U636+V636+W636+X636+AC636+AD636+AE636</f>
        <v>190738</v>
      </c>
      <c r="AJ636" s="132">
        <f t="shared" ref="AJ636:AJ648" si="206">S636+U636+V636+W636+X636</f>
        <v>190738</v>
      </c>
      <c r="AK636" s="133">
        <f t="shared" ref="AK636:AK648" si="207">AI636-AJ636</f>
        <v>0</v>
      </c>
      <c r="AL636" s="115"/>
      <c r="AM636" s="115" t="s">
        <v>974</v>
      </c>
      <c r="AN636" s="246">
        <v>44845</v>
      </c>
      <c r="AO636" s="100"/>
    </row>
    <row r="637" s="96" customFormat="1" customHeight="1" spans="1:41">
      <c r="A637" s="115" t="s">
        <v>6342</v>
      </c>
      <c r="B637" s="296" t="s">
        <v>6343</v>
      </c>
      <c r="C637" s="296" t="s">
        <v>6344</v>
      </c>
      <c r="D637" s="267" t="s">
        <v>6345</v>
      </c>
      <c r="E637" s="267">
        <v>15836105456</v>
      </c>
      <c r="F637" s="267">
        <v>3</v>
      </c>
      <c r="G637" s="268">
        <v>3806</v>
      </c>
      <c r="H637" s="274">
        <v>30.11</v>
      </c>
      <c r="I637" s="274" t="s">
        <v>2665</v>
      </c>
      <c r="J637" s="267" t="s">
        <v>6346</v>
      </c>
      <c r="K637" s="274">
        <v>31.8</v>
      </c>
      <c r="L637" s="268" t="s">
        <v>2711</v>
      </c>
      <c r="M637" s="268" t="s">
        <v>3402</v>
      </c>
      <c r="N637" s="267" t="s">
        <v>66</v>
      </c>
      <c r="O637" s="267"/>
      <c r="P637" s="267"/>
      <c r="Q637" s="274">
        <v>23240.1257861635</v>
      </c>
      <c r="R637" s="267">
        <v>699760</v>
      </c>
      <c r="S637" s="292">
        <v>379760</v>
      </c>
      <c r="T637" s="292">
        <f t="shared" si="204"/>
        <v>320000</v>
      </c>
      <c r="U637" s="267"/>
      <c r="V637" s="267">
        <v>1957</v>
      </c>
      <c r="W637" s="267">
        <v>550</v>
      </c>
      <c r="X637" s="267"/>
      <c r="Y637" s="267" t="s">
        <v>2669</v>
      </c>
      <c r="Z637" s="267"/>
      <c r="AA637" s="267"/>
      <c r="AB637" s="267" t="s">
        <v>6347</v>
      </c>
      <c r="AC637" s="321">
        <v>1252</v>
      </c>
      <c r="AD637" s="115"/>
      <c r="AE637" s="115"/>
      <c r="AF637" s="115"/>
      <c r="AG637" s="115"/>
      <c r="AH637" s="115"/>
      <c r="AI637" s="132">
        <f t="shared" si="205"/>
        <v>383519</v>
      </c>
      <c r="AJ637" s="132">
        <f t="shared" si="206"/>
        <v>382267</v>
      </c>
      <c r="AK637" s="133">
        <f t="shared" si="207"/>
        <v>1252</v>
      </c>
      <c r="AL637" s="115"/>
      <c r="AM637" s="115" t="s">
        <v>974</v>
      </c>
      <c r="AN637" s="246">
        <v>44845</v>
      </c>
      <c r="AO637" s="100"/>
    </row>
    <row r="638" s="96" customFormat="1" customHeight="1" spans="1:41">
      <c r="A638" s="115" t="s">
        <v>6348</v>
      </c>
      <c r="B638" s="296" t="s">
        <v>6349</v>
      </c>
      <c r="C638" s="556" t="s">
        <v>6350</v>
      </c>
      <c r="D638" s="267" t="s">
        <v>6351</v>
      </c>
      <c r="E638" s="267">
        <v>19937117478</v>
      </c>
      <c r="F638" s="267">
        <v>2</v>
      </c>
      <c r="G638" s="268">
        <v>2122</v>
      </c>
      <c r="H638" s="274">
        <v>44.84</v>
      </c>
      <c r="I638" s="274" t="s">
        <v>2665</v>
      </c>
      <c r="J638" s="267" t="s">
        <v>6352</v>
      </c>
      <c r="K638" s="274">
        <v>40.55</v>
      </c>
      <c r="L638" s="268" t="s">
        <v>2711</v>
      </c>
      <c r="M638" s="268" t="s">
        <v>5367</v>
      </c>
      <c r="N638" s="267" t="s">
        <v>56</v>
      </c>
      <c r="O638" s="267"/>
      <c r="P638" s="267"/>
      <c r="Q638" s="274">
        <v>28751.32</v>
      </c>
      <c r="R638" s="267">
        <v>1165866</v>
      </c>
      <c r="S638" s="292">
        <v>1165866</v>
      </c>
      <c r="T638" s="292">
        <f t="shared" si="204"/>
        <v>0</v>
      </c>
      <c r="U638" s="267"/>
      <c r="V638" s="267"/>
      <c r="W638" s="267"/>
      <c r="X638" s="267"/>
      <c r="Y638" s="267"/>
      <c r="Z638" s="267"/>
      <c r="AA638" s="267"/>
      <c r="AB638" s="267" t="s">
        <v>6353</v>
      </c>
      <c r="AC638" s="321"/>
      <c r="AD638" s="115"/>
      <c r="AE638" s="115"/>
      <c r="AF638" s="115"/>
      <c r="AG638" s="115"/>
      <c r="AH638" s="115"/>
      <c r="AI638" s="132">
        <f t="shared" si="205"/>
        <v>1165866</v>
      </c>
      <c r="AJ638" s="132">
        <f t="shared" si="206"/>
        <v>1165866</v>
      </c>
      <c r="AK638" s="133">
        <f t="shared" si="207"/>
        <v>0</v>
      </c>
      <c r="AL638" s="115"/>
      <c r="AM638" s="115" t="s">
        <v>974</v>
      </c>
      <c r="AN638" s="246">
        <v>44845</v>
      </c>
      <c r="AO638" s="100"/>
    </row>
    <row r="639" s="96" customFormat="1" customHeight="1" spans="1:41">
      <c r="A639" s="115" t="s">
        <v>6354</v>
      </c>
      <c r="B639" s="111" t="s">
        <v>6355</v>
      </c>
      <c r="C639" s="111" t="s">
        <v>6356</v>
      </c>
      <c r="D639" s="121" t="s">
        <v>6357</v>
      </c>
      <c r="E639" s="113">
        <v>18638066612</v>
      </c>
      <c r="F639" s="267">
        <v>3</v>
      </c>
      <c r="G639" s="268">
        <v>3767</v>
      </c>
      <c r="H639" s="274">
        <v>18.39</v>
      </c>
      <c r="I639" s="274" t="s">
        <v>2657</v>
      </c>
      <c r="J639" s="113" t="s">
        <v>6358</v>
      </c>
      <c r="K639" s="113">
        <v>15</v>
      </c>
      <c r="L639" s="266" t="s">
        <v>4587</v>
      </c>
      <c r="M639" s="266" t="s">
        <v>5169</v>
      </c>
      <c r="N639" s="113" t="s">
        <v>66</v>
      </c>
      <c r="O639" s="113"/>
      <c r="P639" s="113"/>
      <c r="Q639" s="113">
        <v>31846.67</v>
      </c>
      <c r="R639" s="113">
        <v>477700</v>
      </c>
      <c r="S639" s="121">
        <v>247700</v>
      </c>
      <c r="T639" s="292">
        <f t="shared" si="204"/>
        <v>230000</v>
      </c>
      <c r="U639" s="113"/>
      <c r="V639" s="113"/>
      <c r="W639" s="113"/>
      <c r="X639" s="113"/>
      <c r="Y639" s="113"/>
      <c r="Z639" s="113"/>
      <c r="AA639" s="113"/>
      <c r="AB639" s="113"/>
      <c r="AC639" s="321"/>
      <c r="AD639" s="115"/>
      <c r="AE639" s="115"/>
      <c r="AF639" s="115"/>
      <c r="AG639" s="115"/>
      <c r="AH639" s="115"/>
      <c r="AI639" s="132">
        <f t="shared" si="205"/>
        <v>247700</v>
      </c>
      <c r="AJ639" s="132">
        <f t="shared" si="206"/>
        <v>247700</v>
      </c>
      <c r="AK639" s="133">
        <f t="shared" si="207"/>
        <v>0</v>
      </c>
      <c r="AL639" s="115"/>
      <c r="AM639" s="115" t="s">
        <v>974</v>
      </c>
      <c r="AN639" s="246">
        <v>44845</v>
      </c>
      <c r="AO639" s="100"/>
    </row>
    <row r="640" s="96" customFormat="1" customHeight="1" spans="1:41">
      <c r="A640" s="115" t="s">
        <v>6359</v>
      </c>
      <c r="B640" s="111" t="s">
        <v>6360</v>
      </c>
      <c r="C640" s="554" t="s">
        <v>6361</v>
      </c>
      <c r="D640" s="113" t="s">
        <v>6362</v>
      </c>
      <c r="E640" s="113">
        <v>18137810536</v>
      </c>
      <c r="F640" s="267">
        <v>1</v>
      </c>
      <c r="G640" s="268">
        <v>1284</v>
      </c>
      <c r="H640" s="274">
        <v>26.27</v>
      </c>
      <c r="I640" s="274" t="s">
        <v>2657</v>
      </c>
      <c r="J640" s="113" t="s">
        <v>6363</v>
      </c>
      <c r="K640" s="116">
        <v>26.79</v>
      </c>
      <c r="L640" s="266" t="s">
        <v>2982</v>
      </c>
      <c r="M640" s="266" t="s">
        <v>3550</v>
      </c>
      <c r="N640" s="113" t="s">
        <v>66</v>
      </c>
      <c r="O640" s="113"/>
      <c r="P640" s="113"/>
      <c r="Q640" s="113">
        <v>48295.86</v>
      </c>
      <c r="R640" s="113">
        <v>1293846</v>
      </c>
      <c r="S640" s="121">
        <v>653846</v>
      </c>
      <c r="T640" s="292">
        <f t="shared" si="204"/>
        <v>640000</v>
      </c>
      <c r="U640" s="113"/>
      <c r="V640" s="113"/>
      <c r="W640" s="113"/>
      <c r="X640" s="113"/>
      <c r="Y640" s="113"/>
      <c r="Z640" s="113"/>
      <c r="AA640" s="113"/>
      <c r="AB640" s="113"/>
      <c r="AC640" s="321">
        <v>1281</v>
      </c>
      <c r="AD640" s="115"/>
      <c r="AE640" s="115"/>
      <c r="AF640" s="115"/>
      <c r="AG640" s="115"/>
      <c r="AH640" s="115"/>
      <c r="AI640" s="132">
        <f t="shared" si="205"/>
        <v>655127</v>
      </c>
      <c r="AJ640" s="132">
        <f t="shared" si="206"/>
        <v>653846</v>
      </c>
      <c r="AK640" s="133">
        <f t="shared" si="207"/>
        <v>1281</v>
      </c>
      <c r="AL640" s="115"/>
      <c r="AM640" s="115" t="s">
        <v>974</v>
      </c>
      <c r="AN640" s="246">
        <v>44845</v>
      </c>
      <c r="AO640" s="100"/>
    </row>
    <row r="641" s="96" customFormat="1" customHeight="1" spans="1:41">
      <c r="A641" s="115" t="s">
        <v>6364</v>
      </c>
      <c r="B641" s="111" t="s">
        <v>6365</v>
      </c>
      <c r="C641" s="554" t="s">
        <v>6366</v>
      </c>
      <c r="D641" s="113" t="s">
        <v>6367</v>
      </c>
      <c r="E641" s="113">
        <v>15637400883</v>
      </c>
      <c r="F641" s="267">
        <v>3</v>
      </c>
      <c r="G641" s="268">
        <v>356</v>
      </c>
      <c r="H641" s="274">
        <v>30.06</v>
      </c>
      <c r="I641" s="274" t="s">
        <v>2665</v>
      </c>
      <c r="J641" s="113" t="s">
        <v>6368</v>
      </c>
      <c r="K641" s="116">
        <v>26.6</v>
      </c>
      <c r="L641" s="266" t="s">
        <v>2711</v>
      </c>
      <c r="M641" s="266" t="s">
        <v>2799</v>
      </c>
      <c r="N641" s="113" t="s">
        <v>66</v>
      </c>
      <c r="O641" s="113"/>
      <c r="P641" s="113"/>
      <c r="Q641" s="113">
        <v>22525.0751879699</v>
      </c>
      <c r="R641" s="113">
        <v>599167</v>
      </c>
      <c r="S641" s="121">
        <v>309167</v>
      </c>
      <c r="T641" s="292">
        <f t="shared" si="204"/>
        <v>290000</v>
      </c>
      <c r="U641" s="113"/>
      <c r="V641" s="113"/>
      <c r="W641" s="113"/>
      <c r="X641" s="113"/>
      <c r="Y641" s="113"/>
      <c r="Z641" s="113"/>
      <c r="AA641" s="275"/>
      <c r="AB641" s="113"/>
      <c r="AC641" s="113"/>
      <c r="AD641" s="113"/>
      <c r="AE641" s="133"/>
      <c r="AF641" s="115"/>
      <c r="AG641" s="133"/>
      <c r="AH641" s="133"/>
      <c r="AI641" s="132">
        <f t="shared" si="205"/>
        <v>309167</v>
      </c>
      <c r="AJ641" s="132">
        <f t="shared" si="206"/>
        <v>309167</v>
      </c>
      <c r="AK641" s="133">
        <f t="shared" si="207"/>
        <v>0</v>
      </c>
      <c r="AL641" s="310"/>
      <c r="AM641" s="133" t="s">
        <v>886</v>
      </c>
      <c r="AN641" s="246">
        <v>44845</v>
      </c>
      <c r="AO641" s="100"/>
    </row>
    <row r="642" s="96" customFormat="1" customHeight="1" spans="1:41">
      <c r="A642" s="115" t="s">
        <v>6369</v>
      </c>
      <c r="B642" s="111" t="s">
        <v>6370</v>
      </c>
      <c r="C642" s="111" t="s">
        <v>6371</v>
      </c>
      <c r="D642" s="113" t="s">
        <v>6372</v>
      </c>
      <c r="E642" s="113">
        <v>15136297146</v>
      </c>
      <c r="F642" s="267">
        <v>3</v>
      </c>
      <c r="G642" s="268">
        <v>3233</v>
      </c>
      <c r="H642" s="274">
        <v>13.52</v>
      </c>
      <c r="I642" s="274" t="s">
        <v>2657</v>
      </c>
      <c r="J642" s="113" t="s">
        <v>6373</v>
      </c>
      <c r="K642" s="116">
        <v>12.52</v>
      </c>
      <c r="L642" s="266" t="s">
        <v>6031</v>
      </c>
      <c r="M642" s="266" t="s">
        <v>3409</v>
      </c>
      <c r="N642" s="113" t="s">
        <v>66</v>
      </c>
      <c r="O642" s="113"/>
      <c r="P642" s="113"/>
      <c r="Q642" s="113">
        <v>33211.98</v>
      </c>
      <c r="R642" s="113">
        <v>449026</v>
      </c>
      <c r="S642" s="121">
        <v>229026</v>
      </c>
      <c r="T642" s="292">
        <f t="shared" si="204"/>
        <v>220000</v>
      </c>
      <c r="U642" s="113"/>
      <c r="V642" s="113">
        <v>878</v>
      </c>
      <c r="W642" s="113">
        <v>550</v>
      </c>
      <c r="X642" s="113"/>
      <c r="Y642" s="113" t="s">
        <v>2669</v>
      </c>
      <c r="Z642" s="113"/>
      <c r="AA642" s="275"/>
      <c r="AB642" s="113"/>
      <c r="AC642" s="113">
        <v>1242</v>
      </c>
      <c r="AD642" s="113"/>
      <c r="AE642" s="133"/>
      <c r="AF642" s="115"/>
      <c r="AG642" s="133"/>
      <c r="AH642" s="133"/>
      <c r="AI642" s="132">
        <f t="shared" si="205"/>
        <v>231696</v>
      </c>
      <c r="AJ642" s="132">
        <f t="shared" si="206"/>
        <v>230454</v>
      </c>
      <c r="AK642" s="133">
        <f t="shared" si="207"/>
        <v>1242</v>
      </c>
      <c r="AL642" s="310"/>
      <c r="AM642" s="133" t="s">
        <v>886</v>
      </c>
      <c r="AN642" s="246">
        <v>44845</v>
      </c>
      <c r="AO642" s="100"/>
    </row>
    <row r="643" s="96" customFormat="1" customHeight="1" spans="1:41">
      <c r="A643" s="115" t="s">
        <v>6374</v>
      </c>
      <c r="B643" s="111" t="s">
        <v>6375</v>
      </c>
      <c r="C643" s="554" t="s">
        <v>6376</v>
      </c>
      <c r="D643" s="113" t="s">
        <v>6377</v>
      </c>
      <c r="E643" s="325" t="s">
        <v>6378</v>
      </c>
      <c r="F643" s="267">
        <v>4</v>
      </c>
      <c r="G643" s="268">
        <v>4492</v>
      </c>
      <c r="H643" s="274">
        <v>15.45</v>
      </c>
      <c r="I643" s="274" t="s">
        <v>2657</v>
      </c>
      <c r="J643" s="267" t="s">
        <v>6379</v>
      </c>
      <c r="K643" s="267">
        <v>13.18</v>
      </c>
      <c r="L643" s="266" t="s">
        <v>2718</v>
      </c>
      <c r="M643" s="266" t="s">
        <v>2698</v>
      </c>
      <c r="N643" s="113" t="s">
        <v>66</v>
      </c>
      <c r="O643" s="113"/>
      <c r="P643" s="113"/>
      <c r="Q643" s="113">
        <v>27987.25</v>
      </c>
      <c r="R643" s="113">
        <v>368872</v>
      </c>
      <c r="S643" s="121">
        <v>188872</v>
      </c>
      <c r="T643" s="292">
        <f t="shared" si="204"/>
        <v>180000</v>
      </c>
      <c r="U643" s="113"/>
      <c r="V643" s="113"/>
      <c r="W643" s="113"/>
      <c r="X643" s="113"/>
      <c r="Y643" s="113"/>
      <c r="Z643" s="113"/>
      <c r="AA643" s="113"/>
      <c r="AB643" s="113"/>
      <c r="AC643" s="246"/>
      <c r="AD643" s="115"/>
      <c r="AE643" s="115"/>
      <c r="AF643" s="115"/>
      <c r="AG643" s="115"/>
      <c r="AH643" s="115"/>
      <c r="AI643" s="132">
        <f t="shared" si="205"/>
        <v>188872</v>
      </c>
      <c r="AJ643" s="132">
        <f t="shared" si="206"/>
        <v>188872</v>
      </c>
      <c r="AK643" s="133">
        <f t="shared" si="207"/>
        <v>0</v>
      </c>
      <c r="AL643" s="115"/>
      <c r="AM643" s="115" t="s">
        <v>974</v>
      </c>
      <c r="AN643" s="246">
        <v>44845</v>
      </c>
      <c r="AO643" s="100"/>
    </row>
    <row r="644" s="96" customFormat="1" customHeight="1" spans="1:41">
      <c r="A644" s="115" t="s">
        <v>6380</v>
      </c>
      <c r="B644" s="111" t="s">
        <v>6381</v>
      </c>
      <c r="C644" s="111" t="s">
        <v>6382</v>
      </c>
      <c r="D644" s="121" t="s">
        <v>6383</v>
      </c>
      <c r="E644" s="112" t="s">
        <v>6384</v>
      </c>
      <c r="F644" s="267">
        <v>3</v>
      </c>
      <c r="G644" s="268">
        <v>3279</v>
      </c>
      <c r="H644" s="274">
        <v>23.8</v>
      </c>
      <c r="I644" s="274" t="s">
        <v>2657</v>
      </c>
      <c r="J644" s="113" t="s">
        <v>6385</v>
      </c>
      <c r="K644" s="116">
        <v>21.84</v>
      </c>
      <c r="L644" s="266" t="s">
        <v>6386</v>
      </c>
      <c r="M644" s="266" t="s">
        <v>6185</v>
      </c>
      <c r="N644" s="113" t="s">
        <v>66</v>
      </c>
      <c r="O644" s="113"/>
      <c r="P644" s="113"/>
      <c r="Q644" s="113">
        <v>30489.38</v>
      </c>
      <c r="R644" s="113">
        <v>665888</v>
      </c>
      <c r="S644" s="121">
        <v>335888</v>
      </c>
      <c r="T644" s="292">
        <f t="shared" si="204"/>
        <v>330000</v>
      </c>
      <c r="U644" s="113"/>
      <c r="V644" s="113"/>
      <c r="W644" s="113"/>
      <c r="X644" s="113"/>
      <c r="Y644" s="113"/>
      <c r="Z644" s="113"/>
      <c r="AA644" s="113"/>
      <c r="AB644" s="113"/>
      <c r="AC644" s="246"/>
      <c r="AD644" s="115"/>
      <c r="AE644" s="115"/>
      <c r="AF644" s="115"/>
      <c r="AG644" s="115"/>
      <c r="AH644" s="115"/>
      <c r="AI644" s="132">
        <f t="shared" si="205"/>
        <v>335888</v>
      </c>
      <c r="AJ644" s="132">
        <f t="shared" si="206"/>
        <v>335888</v>
      </c>
      <c r="AK644" s="133">
        <f t="shared" si="207"/>
        <v>0</v>
      </c>
      <c r="AL644" s="115"/>
      <c r="AM644" s="115" t="s">
        <v>974</v>
      </c>
      <c r="AN644" s="246">
        <v>44845</v>
      </c>
      <c r="AO644" s="100"/>
    </row>
    <row r="645" s="96" customFormat="1" customHeight="1" spans="1:41">
      <c r="A645" s="115" t="s">
        <v>6387</v>
      </c>
      <c r="B645" s="111" t="s">
        <v>6388</v>
      </c>
      <c r="C645" s="554" t="s">
        <v>6389</v>
      </c>
      <c r="D645" s="113" t="s">
        <v>6390</v>
      </c>
      <c r="E645" s="113">
        <v>13937719226</v>
      </c>
      <c r="F645" s="267">
        <v>4</v>
      </c>
      <c r="G645" s="268">
        <v>4369</v>
      </c>
      <c r="H645" s="274">
        <v>15.65</v>
      </c>
      <c r="I645" s="274" t="s">
        <v>2657</v>
      </c>
      <c r="J645" s="113" t="s">
        <v>6391</v>
      </c>
      <c r="K645" s="113">
        <v>12.28</v>
      </c>
      <c r="L645" s="266" t="s">
        <v>2968</v>
      </c>
      <c r="M645" s="266" t="s">
        <v>2968</v>
      </c>
      <c r="N645" s="113" t="s">
        <v>56</v>
      </c>
      <c r="O645" s="113"/>
      <c r="P645" s="113"/>
      <c r="Q645" s="113">
        <v>23000</v>
      </c>
      <c r="R645" s="113">
        <v>282440</v>
      </c>
      <c r="S645" s="121">
        <v>282440</v>
      </c>
      <c r="T645" s="292">
        <f t="shared" si="204"/>
        <v>0</v>
      </c>
      <c r="U645" s="113"/>
      <c r="V645" s="113"/>
      <c r="W645" s="113"/>
      <c r="X645" s="113"/>
      <c r="Y645" s="113"/>
      <c r="Z645" s="113"/>
      <c r="AA645" s="113"/>
      <c r="AB645" s="113"/>
      <c r="AC645" s="246"/>
      <c r="AD645" s="115"/>
      <c r="AE645" s="115"/>
      <c r="AF645" s="115"/>
      <c r="AG645" s="115"/>
      <c r="AH645" s="115">
        <f>AI645</f>
        <v>282440</v>
      </c>
      <c r="AI645" s="132">
        <f t="shared" si="205"/>
        <v>282440</v>
      </c>
      <c r="AJ645" s="132">
        <f t="shared" si="206"/>
        <v>282440</v>
      </c>
      <c r="AK645" s="133">
        <f t="shared" si="207"/>
        <v>0</v>
      </c>
      <c r="AL645" s="155" t="s">
        <v>6392</v>
      </c>
      <c r="AM645" s="115" t="s">
        <v>974</v>
      </c>
      <c r="AN645" s="246">
        <v>44845</v>
      </c>
      <c r="AO645" s="100"/>
    </row>
    <row r="646" s="96" customFormat="1" customHeight="1" spans="1:41">
      <c r="A646" s="115" t="s">
        <v>6393</v>
      </c>
      <c r="B646" s="111" t="s">
        <v>6394</v>
      </c>
      <c r="C646" s="554" t="s">
        <v>6395</v>
      </c>
      <c r="D646" s="113" t="s">
        <v>6396</v>
      </c>
      <c r="E646" s="113">
        <v>13461982122</v>
      </c>
      <c r="F646" s="267">
        <v>4</v>
      </c>
      <c r="G646" s="268">
        <v>4412</v>
      </c>
      <c r="H646" s="274">
        <v>12.44</v>
      </c>
      <c r="I646" s="274" t="s">
        <v>2657</v>
      </c>
      <c r="J646" s="113" t="s">
        <v>6397</v>
      </c>
      <c r="K646" s="113">
        <v>17.87</v>
      </c>
      <c r="L646" s="266" t="s">
        <v>2968</v>
      </c>
      <c r="M646" s="266" t="s">
        <v>2968</v>
      </c>
      <c r="N646" s="113" t="s">
        <v>56</v>
      </c>
      <c r="O646" s="113"/>
      <c r="P646" s="113"/>
      <c r="Q646" s="113">
        <v>23000</v>
      </c>
      <c r="R646" s="113">
        <v>411010</v>
      </c>
      <c r="S646" s="121">
        <v>411010</v>
      </c>
      <c r="T646" s="292">
        <f t="shared" si="204"/>
        <v>0</v>
      </c>
      <c r="U646" s="113"/>
      <c r="V646" s="113"/>
      <c r="W646" s="113"/>
      <c r="X646" s="113"/>
      <c r="Y646" s="113"/>
      <c r="Z646" s="113"/>
      <c r="AA646" s="113"/>
      <c r="AB646" s="113"/>
      <c r="AC646" s="246"/>
      <c r="AD646" s="115"/>
      <c r="AE646" s="115"/>
      <c r="AF646" s="115"/>
      <c r="AG646" s="115"/>
      <c r="AH646" s="115">
        <f>AI646</f>
        <v>411010</v>
      </c>
      <c r="AI646" s="132">
        <f t="shared" si="205"/>
        <v>411010</v>
      </c>
      <c r="AJ646" s="132">
        <f t="shared" si="206"/>
        <v>411010</v>
      </c>
      <c r="AK646" s="133">
        <f t="shared" si="207"/>
        <v>0</v>
      </c>
      <c r="AL646" s="155" t="s">
        <v>6392</v>
      </c>
      <c r="AM646" s="115" t="s">
        <v>974</v>
      </c>
      <c r="AN646" s="246">
        <v>44845</v>
      </c>
      <c r="AO646" s="100"/>
    </row>
    <row r="647" s="96" customFormat="1" customHeight="1" spans="1:41">
      <c r="A647" s="115" t="s">
        <v>6398</v>
      </c>
      <c r="B647" s="111" t="s">
        <v>6399</v>
      </c>
      <c r="C647" s="554" t="s">
        <v>6400</v>
      </c>
      <c r="D647" s="113" t="s">
        <v>6401</v>
      </c>
      <c r="E647" s="113">
        <v>13839048666</v>
      </c>
      <c r="F647" s="267">
        <v>2</v>
      </c>
      <c r="G647" s="268">
        <v>2106</v>
      </c>
      <c r="H647" s="274">
        <v>31.4</v>
      </c>
      <c r="I647" s="274" t="s">
        <v>2665</v>
      </c>
      <c r="J647" s="113" t="s">
        <v>6402</v>
      </c>
      <c r="K647" s="116">
        <v>28.63</v>
      </c>
      <c r="L647" s="266" t="s">
        <v>2711</v>
      </c>
      <c r="M647" s="266" t="s">
        <v>3766</v>
      </c>
      <c r="N647" s="113" t="s">
        <v>56</v>
      </c>
      <c r="O647" s="113"/>
      <c r="P647" s="113"/>
      <c r="Q647" s="113">
        <v>28065.14</v>
      </c>
      <c r="R647" s="113">
        <v>881245</v>
      </c>
      <c r="S647" s="121">
        <v>881245</v>
      </c>
      <c r="T647" s="292">
        <f t="shared" si="204"/>
        <v>0</v>
      </c>
      <c r="U647" s="113"/>
      <c r="V647" s="113">
        <v>2041</v>
      </c>
      <c r="W647" s="113">
        <v>550</v>
      </c>
      <c r="X647" s="113"/>
      <c r="Y647" s="113" t="s">
        <v>2669</v>
      </c>
      <c r="Z647" s="113" t="s">
        <v>48</v>
      </c>
      <c r="AA647" s="275">
        <v>44019</v>
      </c>
      <c r="AB647" s="113"/>
      <c r="AC647" s="113"/>
      <c r="AD647" s="113"/>
      <c r="AE647" s="133"/>
      <c r="AF647" s="115"/>
      <c r="AG647" s="133"/>
      <c r="AH647" s="133"/>
      <c r="AI647" s="132">
        <f t="shared" si="205"/>
        <v>883836</v>
      </c>
      <c r="AJ647" s="132">
        <f t="shared" si="206"/>
        <v>883836</v>
      </c>
      <c r="AK647" s="133">
        <f t="shared" si="207"/>
        <v>0</v>
      </c>
      <c r="AL647" s="310"/>
      <c r="AM647" s="133" t="s">
        <v>886</v>
      </c>
      <c r="AN647" s="246">
        <v>44845</v>
      </c>
      <c r="AO647" s="100"/>
    </row>
    <row r="648" s="96" customFormat="1" customHeight="1" spans="1:41">
      <c r="A648" s="115" t="s">
        <v>6403</v>
      </c>
      <c r="B648" s="111" t="s">
        <v>6404</v>
      </c>
      <c r="C648" s="554" t="s">
        <v>6405</v>
      </c>
      <c r="D648" s="113" t="s">
        <v>6401</v>
      </c>
      <c r="E648" s="113">
        <v>13839048666</v>
      </c>
      <c r="F648" s="267">
        <v>4</v>
      </c>
      <c r="G648" s="268">
        <v>4120</v>
      </c>
      <c r="H648" s="274">
        <v>30.5</v>
      </c>
      <c r="I648" s="274" t="s">
        <v>2665</v>
      </c>
      <c r="J648" s="113" t="s">
        <v>6406</v>
      </c>
      <c r="K648" s="116">
        <v>38.55</v>
      </c>
      <c r="L648" s="266" t="s">
        <v>2711</v>
      </c>
      <c r="M648" s="266" t="s">
        <v>3766</v>
      </c>
      <c r="N648" s="113" t="s">
        <v>56</v>
      </c>
      <c r="O648" s="113"/>
      <c r="P648" s="113"/>
      <c r="Q648" s="113">
        <v>19144.66</v>
      </c>
      <c r="R648" s="113">
        <v>583912</v>
      </c>
      <c r="S648" s="121">
        <v>583912</v>
      </c>
      <c r="T648" s="292">
        <f t="shared" si="204"/>
        <v>0</v>
      </c>
      <c r="U648" s="113"/>
      <c r="V648" s="113">
        <v>1982</v>
      </c>
      <c r="W648" s="113">
        <v>550</v>
      </c>
      <c r="X648" s="113">
        <v>151583</v>
      </c>
      <c r="Y648" s="113" t="s">
        <v>2669</v>
      </c>
      <c r="Z648" s="113" t="s">
        <v>48</v>
      </c>
      <c r="AA648" s="275">
        <v>44019</v>
      </c>
      <c r="AB648" s="113"/>
      <c r="AC648" s="113"/>
      <c r="AD648" s="113"/>
      <c r="AE648" s="133"/>
      <c r="AF648" s="115"/>
      <c r="AG648" s="133"/>
      <c r="AH648" s="133"/>
      <c r="AI648" s="132">
        <f t="shared" si="205"/>
        <v>738027</v>
      </c>
      <c r="AJ648" s="132">
        <f t="shared" si="206"/>
        <v>738027</v>
      </c>
      <c r="AK648" s="133">
        <f t="shared" si="207"/>
        <v>0</v>
      </c>
      <c r="AL648" s="310"/>
      <c r="AM648" s="133" t="s">
        <v>886</v>
      </c>
      <c r="AN648" s="246">
        <v>44845</v>
      </c>
      <c r="AO648" s="100"/>
    </row>
    <row r="649" s="96" customFormat="1" customHeight="1" spans="1:41">
      <c r="A649" s="115" t="s">
        <v>6407</v>
      </c>
      <c r="B649" s="111" t="s">
        <v>6408</v>
      </c>
      <c r="C649" s="554" t="s">
        <v>6409</v>
      </c>
      <c r="D649" s="113" t="s">
        <v>6410</v>
      </c>
      <c r="E649" s="113">
        <v>13938212000</v>
      </c>
      <c r="F649" s="267">
        <v>4</v>
      </c>
      <c r="G649" s="268">
        <v>4361</v>
      </c>
      <c r="H649" s="274">
        <v>18.66</v>
      </c>
      <c r="I649" s="274" t="s">
        <v>2657</v>
      </c>
      <c r="J649" s="113" t="s">
        <v>6411</v>
      </c>
      <c r="K649" s="116">
        <v>17.81</v>
      </c>
      <c r="L649" s="266" t="s">
        <v>3009</v>
      </c>
      <c r="M649" s="266" t="s">
        <v>3956</v>
      </c>
      <c r="N649" s="113" t="s">
        <v>66</v>
      </c>
      <c r="O649" s="113"/>
      <c r="P649" s="113"/>
      <c r="Q649" s="113">
        <v>26389.67</v>
      </c>
      <c r="R649" s="113">
        <v>470000</v>
      </c>
      <c r="S649" s="121">
        <v>240000</v>
      </c>
      <c r="T649" s="292">
        <f t="shared" si="204"/>
        <v>230000</v>
      </c>
      <c r="U649" s="113"/>
      <c r="V649" s="113"/>
      <c r="W649" s="113"/>
      <c r="X649" s="113"/>
      <c r="Y649" s="113"/>
      <c r="Z649" s="113"/>
      <c r="AA649" s="275"/>
      <c r="AB649" s="113"/>
      <c r="AC649" s="113"/>
      <c r="AD649" s="113"/>
      <c r="AE649" s="133"/>
      <c r="AF649" s="115"/>
      <c r="AG649" s="133"/>
      <c r="AH649" s="133"/>
      <c r="AI649" s="132">
        <f t="shared" ref="AI649:AI662" si="208">S649+U649+V649+W649+X649+AC649+AD649+AE649</f>
        <v>240000</v>
      </c>
      <c r="AJ649" s="132">
        <f t="shared" ref="AJ649:AJ662" si="209">S649+U649+V649+W649+X649</f>
        <v>240000</v>
      </c>
      <c r="AK649" s="133">
        <f t="shared" ref="AK649:AK662" si="210">AI649-AJ649</f>
        <v>0</v>
      </c>
      <c r="AL649" s="310"/>
      <c r="AM649" s="133" t="s">
        <v>886</v>
      </c>
      <c r="AN649" s="246">
        <v>44845</v>
      </c>
      <c r="AO649" s="100"/>
    </row>
    <row r="650" s="96" customFormat="1" customHeight="1" spans="1:41">
      <c r="A650" s="115" t="s">
        <v>6412</v>
      </c>
      <c r="B650" s="111" t="s">
        <v>480</v>
      </c>
      <c r="C650" s="111" t="s">
        <v>6413</v>
      </c>
      <c r="D650" s="121" t="s">
        <v>6414</v>
      </c>
      <c r="E650" s="113">
        <v>17698065130</v>
      </c>
      <c r="F650" s="267">
        <v>3</v>
      </c>
      <c r="G650" s="268">
        <v>3772</v>
      </c>
      <c r="H650" s="274">
        <v>16.9</v>
      </c>
      <c r="I650" s="274" t="s">
        <v>2657</v>
      </c>
      <c r="J650" s="113" t="s">
        <v>6415</v>
      </c>
      <c r="K650" s="113">
        <v>17.16</v>
      </c>
      <c r="L650" s="266" t="s">
        <v>4288</v>
      </c>
      <c r="M650" s="266" t="s">
        <v>3163</v>
      </c>
      <c r="N650" s="113" t="s">
        <v>56</v>
      </c>
      <c r="O650" s="113"/>
      <c r="P650" s="113"/>
      <c r="Q650" s="113">
        <v>31123.6</v>
      </c>
      <c r="R650" s="113">
        <v>525989</v>
      </c>
      <c r="S650" s="121">
        <v>525989</v>
      </c>
      <c r="T650" s="292">
        <f t="shared" si="204"/>
        <v>0</v>
      </c>
      <c r="U650" s="113"/>
      <c r="V650" s="113">
        <v>1098</v>
      </c>
      <c r="W650" s="113">
        <v>550</v>
      </c>
      <c r="X650" s="113">
        <v>6444</v>
      </c>
      <c r="Y650" s="113" t="s">
        <v>2669</v>
      </c>
      <c r="Z650" s="113" t="s">
        <v>48</v>
      </c>
      <c r="AA650" s="304">
        <v>44054</v>
      </c>
      <c r="AB650" s="113"/>
      <c r="AC650" s="246"/>
      <c r="AD650" s="115"/>
      <c r="AE650" s="115"/>
      <c r="AF650" s="115"/>
      <c r="AG650" s="115"/>
      <c r="AH650" s="115"/>
      <c r="AI650" s="132">
        <f t="shared" si="208"/>
        <v>534081</v>
      </c>
      <c r="AJ650" s="132">
        <f t="shared" si="209"/>
        <v>534081</v>
      </c>
      <c r="AK650" s="133">
        <f t="shared" si="210"/>
        <v>0</v>
      </c>
      <c r="AL650" s="155"/>
      <c r="AM650" s="115" t="s">
        <v>974</v>
      </c>
      <c r="AN650" s="246">
        <v>44845</v>
      </c>
      <c r="AO650" s="100"/>
    </row>
    <row r="651" s="96" customFormat="1" customHeight="1" spans="1:41">
      <c r="A651" s="115" t="s">
        <v>6416</v>
      </c>
      <c r="B651" s="111" t="s">
        <v>6417</v>
      </c>
      <c r="C651" s="554" t="s">
        <v>6418</v>
      </c>
      <c r="D651" s="113" t="s">
        <v>6419</v>
      </c>
      <c r="E651" s="113">
        <v>13523089970</v>
      </c>
      <c r="F651" s="267">
        <v>1</v>
      </c>
      <c r="G651" s="268">
        <v>1651</v>
      </c>
      <c r="H651" s="274">
        <v>16.61</v>
      </c>
      <c r="I651" s="274" t="s">
        <v>2657</v>
      </c>
      <c r="J651" s="113" t="s">
        <v>6420</v>
      </c>
      <c r="K651" s="113">
        <v>16.56</v>
      </c>
      <c r="L651" s="266" t="s">
        <v>4670</v>
      </c>
      <c r="M651" s="266" t="s">
        <v>5198</v>
      </c>
      <c r="N651" s="113" t="s">
        <v>56</v>
      </c>
      <c r="O651" s="113"/>
      <c r="P651" s="113"/>
      <c r="Q651" s="113">
        <v>46942.14</v>
      </c>
      <c r="R651" s="113">
        <v>779709</v>
      </c>
      <c r="S651" s="121">
        <v>779709</v>
      </c>
      <c r="T651" s="292">
        <f t="shared" si="204"/>
        <v>0</v>
      </c>
      <c r="U651" s="113"/>
      <c r="V651" s="113">
        <v>1079</v>
      </c>
      <c r="W651" s="113">
        <v>550</v>
      </c>
      <c r="X651" s="113"/>
      <c r="Y651" s="113" t="s">
        <v>2669</v>
      </c>
      <c r="Z651" s="113" t="s">
        <v>48</v>
      </c>
      <c r="AA651" s="305">
        <v>44051</v>
      </c>
      <c r="AB651" s="113"/>
      <c r="AC651" s="246"/>
      <c r="AD651" s="115"/>
      <c r="AE651" s="115"/>
      <c r="AF651" s="115"/>
      <c r="AG651" s="115"/>
      <c r="AH651" s="115"/>
      <c r="AI651" s="132">
        <f t="shared" si="208"/>
        <v>781338</v>
      </c>
      <c r="AJ651" s="132">
        <f t="shared" si="209"/>
        <v>781338</v>
      </c>
      <c r="AK651" s="133">
        <f t="shared" si="210"/>
        <v>0</v>
      </c>
      <c r="AL651" s="155"/>
      <c r="AM651" s="115" t="s">
        <v>974</v>
      </c>
      <c r="AN651" s="246">
        <v>44845</v>
      </c>
      <c r="AO651" s="100"/>
    </row>
    <row r="652" s="96" customFormat="1" customHeight="1" spans="1:41">
      <c r="A652" s="115" t="s">
        <v>6421</v>
      </c>
      <c r="B652" s="111" t="s">
        <v>6422</v>
      </c>
      <c r="C652" s="554" t="s">
        <v>6423</v>
      </c>
      <c r="D652" s="113" t="s">
        <v>6424</v>
      </c>
      <c r="E652" s="111">
        <v>13503818153</v>
      </c>
      <c r="F652" s="267">
        <v>1</v>
      </c>
      <c r="G652" s="268" t="s">
        <v>6425</v>
      </c>
      <c r="H652" s="274">
        <v>15.75</v>
      </c>
      <c r="I652" s="274" t="s">
        <v>2657</v>
      </c>
      <c r="J652" s="113" t="s">
        <v>6426</v>
      </c>
      <c r="K652" s="116">
        <v>16.47</v>
      </c>
      <c r="L652" s="266" t="s">
        <v>6427</v>
      </c>
      <c r="M652" s="266" t="s">
        <v>6428</v>
      </c>
      <c r="N652" s="113" t="s">
        <v>56</v>
      </c>
      <c r="O652" s="113"/>
      <c r="P652" s="113"/>
      <c r="Q652" s="113">
        <v>46534.37</v>
      </c>
      <c r="R652" s="113">
        <v>732916</v>
      </c>
      <c r="S652" s="121">
        <v>732916</v>
      </c>
      <c r="T652" s="292">
        <f t="shared" si="204"/>
        <v>0</v>
      </c>
      <c r="U652" s="113"/>
      <c r="V652" s="113">
        <v>1023</v>
      </c>
      <c r="W652" s="113">
        <v>550</v>
      </c>
      <c r="X652" s="113">
        <v>31932</v>
      </c>
      <c r="Y652" s="113" t="s">
        <v>2669</v>
      </c>
      <c r="Z652" s="113" t="s">
        <v>48</v>
      </c>
      <c r="AA652" s="305">
        <v>44083</v>
      </c>
      <c r="AB652" s="113"/>
      <c r="AC652" s="246"/>
      <c r="AD652" s="115"/>
      <c r="AE652" s="115"/>
      <c r="AF652" s="115"/>
      <c r="AG652" s="115"/>
      <c r="AH652" s="115"/>
      <c r="AI652" s="132">
        <f t="shared" si="208"/>
        <v>766421</v>
      </c>
      <c r="AJ652" s="132">
        <f t="shared" si="209"/>
        <v>766421</v>
      </c>
      <c r="AK652" s="133">
        <f t="shared" si="210"/>
        <v>0</v>
      </c>
      <c r="AL652" s="155"/>
      <c r="AM652" s="115" t="s">
        <v>974</v>
      </c>
      <c r="AN652" s="246">
        <v>44845</v>
      </c>
      <c r="AO652" s="100"/>
    </row>
    <row r="653" s="96" customFormat="1" customHeight="1" spans="1:41">
      <c r="A653" s="115" t="s">
        <v>6429</v>
      </c>
      <c r="B653" s="111" t="s">
        <v>6430</v>
      </c>
      <c r="C653" s="111" t="s">
        <v>6431</v>
      </c>
      <c r="D653" s="113" t="s">
        <v>6432</v>
      </c>
      <c r="E653" s="113">
        <v>18739939443</v>
      </c>
      <c r="F653" s="267">
        <v>4</v>
      </c>
      <c r="G653" s="268">
        <v>4220</v>
      </c>
      <c r="H653" s="274">
        <v>24.86</v>
      </c>
      <c r="I653" s="274" t="s">
        <v>2665</v>
      </c>
      <c r="J653" s="113" t="s">
        <v>6433</v>
      </c>
      <c r="K653" s="116">
        <v>25.85</v>
      </c>
      <c r="L653" s="266" t="s">
        <v>5659</v>
      </c>
      <c r="M653" s="266" t="s">
        <v>3969</v>
      </c>
      <c r="N653" s="113" t="s">
        <v>66</v>
      </c>
      <c r="O653" s="113"/>
      <c r="P653" s="113"/>
      <c r="Q653" s="113">
        <v>26629.32</v>
      </c>
      <c r="R653" s="113">
        <v>662005</v>
      </c>
      <c r="S653" s="121">
        <v>352005</v>
      </c>
      <c r="T653" s="292">
        <f t="shared" si="204"/>
        <v>310000</v>
      </c>
      <c r="U653" s="113"/>
      <c r="V653" s="113">
        <v>1615</v>
      </c>
      <c r="W653" s="113">
        <v>550</v>
      </c>
      <c r="X653" s="113"/>
      <c r="Y653" s="113" t="s">
        <v>2669</v>
      </c>
      <c r="Z653" s="113"/>
      <c r="AA653" s="275"/>
      <c r="AB653" s="113"/>
      <c r="AC653" s="113"/>
      <c r="AD653" s="113"/>
      <c r="AE653" s="133"/>
      <c r="AF653" s="115"/>
      <c r="AG653" s="133"/>
      <c r="AH653" s="133"/>
      <c r="AI653" s="132">
        <f t="shared" si="208"/>
        <v>354170</v>
      </c>
      <c r="AJ653" s="132">
        <f t="shared" si="209"/>
        <v>354170</v>
      </c>
      <c r="AK653" s="133">
        <f t="shared" si="210"/>
        <v>0</v>
      </c>
      <c r="AL653" s="310"/>
      <c r="AM653" s="133" t="s">
        <v>886</v>
      </c>
      <c r="AN653" s="246">
        <v>44845</v>
      </c>
      <c r="AO653" s="100"/>
    </row>
    <row r="654" s="96" customFormat="1" customHeight="1" spans="1:41">
      <c r="A654" s="115" t="s">
        <v>6434</v>
      </c>
      <c r="B654" s="111" t="s">
        <v>6435</v>
      </c>
      <c r="C654" s="554" t="s">
        <v>6436</v>
      </c>
      <c r="D654" s="113" t="s">
        <v>6437</v>
      </c>
      <c r="E654" s="113">
        <v>13513896796</v>
      </c>
      <c r="F654" s="267">
        <v>1</v>
      </c>
      <c r="G654" s="268">
        <v>1677</v>
      </c>
      <c r="H654" s="274">
        <v>18.08</v>
      </c>
      <c r="I654" s="274" t="s">
        <v>2657</v>
      </c>
      <c r="J654" s="113" t="s">
        <v>6438</v>
      </c>
      <c r="K654" s="116">
        <v>18.17</v>
      </c>
      <c r="L654" s="266" t="s">
        <v>6439</v>
      </c>
      <c r="M654" s="266" t="s">
        <v>6440</v>
      </c>
      <c r="N654" s="113" t="s">
        <v>66</v>
      </c>
      <c r="O654" s="113"/>
      <c r="P654" s="113"/>
      <c r="Q654" s="113">
        <v>47003.8</v>
      </c>
      <c r="R654" s="113">
        <v>849829</v>
      </c>
      <c r="S654" s="121">
        <v>439829</v>
      </c>
      <c r="T654" s="292">
        <f t="shared" si="204"/>
        <v>410000</v>
      </c>
      <c r="U654" s="113"/>
      <c r="V654" s="113">
        <v>1175</v>
      </c>
      <c r="W654" s="113">
        <v>550</v>
      </c>
      <c r="X654" s="113"/>
      <c r="Y654" s="113"/>
      <c r="Z654" s="113"/>
      <c r="AA654" s="275"/>
      <c r="AB654" s="113"/>
      <c r="AC654" s="113"/>
      <c r="AD654" s="113"/>
      <c r="AE654" s="133"/>
      <c r="AF654" s="115"/>
      <c r="AG654" s="133"/>
      <c r="AH654" s="133"/>
      <c r="AI654" s="132">
        <f t="shared" si="208"/>
        <v>441554</v>
      </c>
      <c r="AJ654" s="132">
        <f t="shared" si="209"/>
        <v>441554</v>
      </c>
      <c r="AK654" s="133">
        <f t="shared" si="210"/>
        <v>0</v>
      </c>
      <c r="AL654" s="310"/>
      <c r="AM654" s="133" t="s">
        <v>886</v>
      </c>
      <c r="AN654" s="246">
        <v>44845</v>
      </c>
      <c r="AO654" s="100"/>
    </row>
    <row r="655" s="96" customFormat="1" customHeight="1" spans="1:41">
      <c r="A655" s="115" t="s">
        <v>6441</v>
      </c>
      <c r="B655" s="111" t="s">
        <v>6442</v>
      </c>
      <c r="C655" s="554" t="s">
        <v>6443</v>
      </c>
      <c r="D655" s="113" t="s">
        <v>6444</v>
      </c>
      <c r="E655" s="113">
        <v>15838077482</v>
      </c>
      <c r="F655" s="267">
        <v>1</v>
      </c>
      <c r="G655" s="268">
        <v>1696</v>
      </c>
      <c r="H655" s="274">
        <v>18.08</v>
      </c>
      <c r="I655" s="274" t="s">
        <v>2657</v>
      </c>
      <c r="J655" s="113" t="s">
        <v>6445</v>
      </c>
      <c r="K655" s="116">
        <v>18.17</v>
      </c>
      <c r="L655" s="266" t="s">
        <v>6439</v>
      </c>
      <c r="M655" s="266" t="s">
        <v>5591</v>
      </c>
      <c r="N655" s="113" t="s">
        <v>66</v>
      </c>
      <c r="O655" s="113"/>
      <c r="P655" s="113"/>
      <c r="Q655" s="113">
        <v>47003.8</v>
      </c>
      <c r="R655" s="113">
        <v>854059</v>
      </c>
      <c r="S655" s="121">
        <v>434059</v>
      </c>
      <c r="T655" s="292">
        <f t="shared" si="204"/>
        <v>420000</v>
      </c>
      <c r="U655" s="113"/>
      <c r="V655" s="113"/>
      <c r="W655" s="113"/>
      <c r="X655" s="113"/>
      <c r="Y655" s="113"/>
      <c r="Z655" s="113"/>
      <c r="AA655" s="275"/>
      <c r="AB655" s="113"/>
      <c r="AC655" s="113"/>
      <c r="AD655" s="113"/>
      <c r="AE655" s="133"/>
      <c r="AF655" s="115"/>
      <c r="AG655" s="133"/>
      <c r="AH655" s="133"/>
      <c r="AI655" s="132">
        <f t="shared" si="208"/>
        <v>434059</v>
      </c>
      <c r="AJ655" s="132">
        <f t="shared" si="209"/>
        <v>434059</v>
      </c>
      <c r="AK655" s="133">
        <f t="shared" si="210"/>
        <v>0</v>
      </c>
      <c r="AL655" s="310"/>
      <c r="AM655" s="133" t="s">
        <v>886</v>
      </c>
      <c r="AN655" s="246">
        <v>44845</v>
      </c>
      <c r="AO655" s="100"/>
    </row>
    <row r="656" s="96" customFormat="1" customHeight="1" spans="1:41">
      <c r="A656" s="115" t="s">
        <v>6446</v>
      </c>
      <c r="B656" s="111" t="s">
        <v>6447</v>
      </c>
      <c r="C656" s="111" t="s">
        <v>6448</v>
      </c>
      <c r="D656" s="113" t="s">
        <v>6449</v>
      </c>
      <c r="E656" s="113">
        <v>15138955156</v>
      </c>
      <c r="F656" s="267">
        <v>3</v>
      </c>
      <c r="G656" s="268">
        <v>3576</v>
      </c>
      <c r="H656" s="274">
        <v>12.75</v>
      </c>
      <c r="I656" s="274" t="s">
        <v>2657</v>
      </c>
      <c r="J656" s="113" t="s">
        <v>6450</v>
      </c>
      <c r="K656" s="116">
        <v>10.67</v>
      </c>
      <c r="L656" s="266" t="s">
        <v>2854</v>
      </c>
      <c r="M656" s="266" t="s">
        <v>3787</v>
      </c>
      <c r="N656" s="113" t="s">
        <v>66</v>
      </c>
      <c r="O656" s="113"/>
      <c r="P656" s="113"/>
      <c r="Q656" s="113">
        <v>32224.86</v>
      </c>
      <c r="R656" s="113">
        <v>410867</v>
      </c>
      <c r="S656" s="121">
        <v>210867</v>
      </c>
      <c r="T656" s="292">
        <f t="shared" si="204"/>
        <v>200000</v>
      </c>
      <c r="U656" s="113"/>
      <c r="V656" s="113">
        <v>828</v>
      </c>
      <c r="W656" s="113">
        <v>550</v>
      </c>
      <c r="X656" s="113"/>
      <c r="Y656" s="113" t="s">
        <v>2669</v>
      </c>
      <c r="Z656" s="113"/>
      <c r="AA656" s="275"/>
      <c r="AB656" s="113"/>
      <c r="AC656" s="113">
        <v>1240</v>
      </c>
      <c r="AD656" s="113"/>
      <c r="AE656" s="133"/>
      <c r="AF656" s="115"/>
      <c r="AG656" s="133"/>
      <c r="AH656" s="133"/>
      <c r="AI656" s="132">
        <f t="shared" si="208"/>
        <v>213485</v>
      </c>
      <c r="AJ656" s="132">
        <f t="shared" si="209"/>
        <v>212245</v>
      </c>
      <c r="AK656" s="133">
        <f t="shared" si="210"/>
        <v>1240</v>
      </c>
      <c r="AL656" s="310"/>
      <c r="AM656" s="133" t="s">
        <v>886</v>
      </c>
      <c r="AN656" s="246">
        <v>44845</v>
      </c>
      <c r="AO656" s="100"/>
    </row>
    <row r="657" s="96" customFormat="1" customHeight="1" spans="1:41">
      <c r="A657" s="115" t="s">
        <v>6451</v>
      </c>
      <c r="B657" s="111" t="s">
        <v>6452</v>
      </c>
      <c r="C657" s="554" t="s">
        <v>6453</v>
      </c>
      <c r="D657" s="113" t="s">
        <v>6454</v>
      </c>
      <c r="E657" s="113">
        <v>13671559020</v>
      </c>
      <c r="F657" s="267">
        <v>1</v>
      </c>
      <c r="G657" s="268">
        <v>1806</v>
      </c>
      <c r="H657" s="274">
        <v>28.6</v>
      </c>
      <c r="I657" s="274" t="s">
        <v>2657</v>
      </c>
      <c r="J657" s="113" t="s">
        <v>6455</v>
      </c>
      <c r="K657" s="113">
        <v>26.94</v>
      </c>
      <c r="L657" s="266" t="s">
        <v>4932</v>
      </c>
      <c r="M657" s="266" t="s">
        <v>6456</v>
      </c>
      <c r="N657" s="113" t="s">
        <v>66</v>
      </c>
      <c r="O657" s="113"/>
      <c r="P657" s="113"/>
      <c r="Q657" s="113">
        <v>47513</v>
      </c>
      <c r="R657" s="113">
        <v>1358872</v>
      </c>
      <c r="S657" s="121">
        <v>688872</v>
      </c>
      <c r="T657" s="292">
        <f t="shared" si="204"/>
        <v>670000</v>
      </c>
      <c r="U657" s="113"/>
      <c r="V657" s="113">
        <v>1859</v>
      </c>
      <c r="W657" s="113">
        <v>550</v>
      </c>
      <c r="X657" s="113"/>
      <c r="Y657" s="113"/>
      <c r="Z657" s="113"/>
      <c r="AA657" s="113"/>
      <c r="AB657" s="113"/>
      <c r="AC657" s="246"/>
      <c r="AD657" s="115"/>
      <c r="AE657" s="115"/>
      <c r="AF657" s="115"/>
      <c r="AG657" s="115"/>
      <c r="AH657" s="115"/>
      <c r="AI657" s="132">
        <f t="shared" si="208"/>
        <v>691281</v>
      </c>
      <c r="AJ657" s="132">
        <f t="shared" si="209"/>
        <v>691281</v>
      </c>
      <c r="AK657" s="133">
        <f t="shared" si="210"/>
        <v>0</v>
      </c>
      <c r="AL657" s="155"/>
      <c r="AM657" s="115" t="s">
        <v>974</v>
      </c>
      <c r="AN657" s="246">
        <v>44845</v>
      </c>
      <c r="AO657" s="100"/>
    </row>
    <row r="658" s="96" customFormat="1" customHeight="1" spans="1:41">
      <c r="A658" s="115" t="s">
        <v>6457</v>
      </c>
      <c r="B658" s="111" t="s">
        <v>6458</v>
      </c>
      <c r="C658" s="554" t="s">
        <v>6459</v>
      </c>
      <c r="D658" s="113" t="s">
        <v>6460</v>
      </c>
      <c r="E658" s="113">
        <v>18638266569</v>
      </c>
      <c r="F658" s="267">
        <v>1</v>
      </c>
      <c r="G658" s="268">
        <v>1645</v>
      </c>
      <c r="H658" s="274">
        <v>17.68</v>
      </c>
      <c r="I658" s="274" t="s">
        <v>2657</v>
      </c>
      <c r="J658" s="113" t="s">
        <v>6461</v>
      </c>
      <c r="K658" s="113">
        <v>18.2</v>
      </c>
      <c r="L658" s="266" t="s">
        <v>4567</v>
      </c>
      <c r="M658" s="266" t="s">
        <v>4567</v>
      </c>
      <c r="N658" s="113" t="s">
        <v>66</v>
      </c>
      <c r="O658" s="113"/>
      <c r="P658" s="113"/>
      <c r="Q658" s="113">
        <v>46153.85</v>
      </c>
      <c r="R658" s="113">
        <v>840000</v>
      </c>
      <c r="S658" s="121">
        <v>420000</v>
      </c>
      <c r="T658" s="292">
        <f t="shared" si="204"/>
        <v>420000</v>
      </c>
      <c r="U658" s="113"/>
      <c r="V658" s="113"/>
      <c r="W658" s="113"/>
      <c r="X658" s="113"/>
      <c r="Y658" s="113"/>
      <c r="Z658" s="113"/>
      <c r="AA658" s="113"/>
      <c r="AB658" s="113"/>
      <c r="AC658" s="246"/>
      <c r="AD658" s="115"/>
      <c r="AE658" s="115"/>
      <c r="AF658" s="115"/>
      <c r="AG658" s="115"/>
      <c r="AH658" s="115"/>
      <c r="AI658" s="132">
        <f t="shared" si="208"/>
        <v>420000</v>
      </c>
      <c r="AJ658" s="132">
        <f t="shared" si="209"/>
        <v>420000</v>
      </c>
      <c r="AK658" s="133">
        <f t="shared" si="210"/>
        <v>0</v>
      </c>
      <c r="AL658" s="155"/>
      <c r="AM658" s="115" t="s">
        <v>974</v>
      </c>
      <c r="AN658" s="246">
        <v>44845</v>
      </c>
      <c r="AO658" s="100"/>
    </row>
    <row r="659" s="96" customFormat="1" customHeight="1" spans="1:41">
      <c r="A659" s="115" t="s">
        <v>6462</v>
      </c>
      <c r="B659" s="111" t="s">
        <v>6458</v>
      </c>
      <c r="C659" s="554" t="s">
        <v>6459</v>
      </c>
      <c r="D659" s="113" t="s">
        <v>6460</v>
      </c>
      <c r="E659" s="113">
        <v>18638266569</v>
      </c>
      <c r="F659" s="267">
        <v>1</v>
      </c>
      <c r="G659" s="268">
        <v>147</v>
      </c>
      <c r="H659" s="274">
        <v>36.5</v>
      </c>
      <c r="I659" s="274" t="s">
        <v>2657</v>
      </c>
      <c r="J659" s="113" t="s">
        <v>6463</v>
      </c>
      <c r="K659" s="116">
        <v>26.85</v>
      </c>
      <c r="L659" s="266" t="s">
        <v>4567</v>
      </c>
      <c r="M659" s="266" t="s">
        <v>4567</v>
      </c>
      <c r="N659" s="113" t="s">
        <v>66</v>
      </c>
      <c r="O659" s="113"/>
      <c r="P659" s="113"/>
      <c r="Q659" s="113">
        <v>45735.57</v>
      </c>
      <c r="R659" s="113">
        <v>1228000</v>
      </c>
      <c r="S659" s="121">
        <v>618000</v>
      </c>
      <c r="T659" s="292">
        <f t="shared" si="204"/>
        <v>610000</v>
      </c>
      <c r="U659" s="113"/>
      <c r="V659" s="113"/>
      <c r="W659" s="113"/>
      <c r="X659" s="113"/>
      <c r="Y659" s="113"/>
      <c r="Z659" s="113"/>
      <c r="AA659" s="113"/>
      <c r="AB659" s="113"/>
      <c r="AC659" s="246"/>
      <c r="AD659" s="115"/>
      <c r="AE659" s="115"/>
      <c r="AF659" s="115"/>
      <c r="AG659" s="115"/>
      <c r="AH659" s="115"/>
      <c r="AI659" s="132">
        <f t="shared" si="208"/>
        <v>618000</v>
      </c>
      <c r="AJ659" s="132">
        <f t="shared" si="209"/>
        <v>618000</v>
      </c>
      <c r="AK659" s="133">
        <f t="shared" si="210"/>
        <v>0</v>
      </c>
      <c r="AL659" s="155"/>
      <c r="AM659" s="115" t="s">
        <v>974</v>
      </c>
      <c r="AN659" s="246">
        <v>44845</v>
      </c>
      <c r="AO659" s="100"/>
    </row>
    <row r="660" s="96" customFormat="1" customHeight="1" spans="1:41">
      <c r="A660" s="115" t="s">
        <v>6464</v>
      </c>
      <c r="B660" s="111" t="s">
        <v>6465</v>
      </c>
      <c r="C660" s="111" t="s">
        <v>6466</v>
      </c>
      <c r="D660" s="113" t="s">
        <v>6467</v>
      </c>
      <c r="E660" s="113">
        <v>15036163980</v>
      </c>
      <c r="F660" s="267">
        <v>3</v>
      </c>
      <c r="G660" s="268">
        <v>3749</v>
      </c>
      <c r="H660" s="274">
        <v>14.6</v>
      </c>
      <c r="I660" s="274" t="s">
        <v>2657</v>
      </c>
      <c r="J660" s="113" t="s">
        <v>6468</v>
      </c>
      <c r="K660" s="116">
        <v>13.68</v>
      </c>
      <c r="L660" s="266" t="s">
        <v>2746</v>
      </c>
      <c r="M660" s="266" t="s">
        <v>3772</v>
      </c>
      <c r="N660" s="113" t="s">
        <v>66</v>
      </c>
      <c r="O660" s="113"/>
      <c r="P660" s="113"/>
      <c r="Q660" s="113">
        <v>32215.79</v>
      </c>
      <c r="R660" s="113">
        <v>470351</v>
      </c>
      <c r="S660" s="121">
        <v>240351</v>
      </c>
      <c r="T660" s="292">
        <f t="shared" si="204"/>
        <v>230000</v>
      </c>
      <c r="U660" s="113"/>
      <c r="V660" s="113">
        <v>949</v>
      </c>
      <c r="W660" s="113">
        <v>550</v>
      </c>
      <c r="X660" s="113"/>
      <c r="Y660" s="113" t="s">
        <v>2669</v>
      </c>
      <c r="Z660" s="113"/>
      <c r="AA660" s="275"/>
      <c r="AB660" s="113"/>
      <c r="AC660" s="113">
        <v>1243</v>
      </c>
      <c r="AD660" s="113"/>
      <c r="AE660" s="133"/>
      <c r="AF660" s="115"/>
      <c r="AG660" s="133"/>
      <c r="AH660" s="133"/>
      <c r="AI660" s="132">
        <f t="shared" si="208"/>
        <v>243093</v>
      </c>
      <c r="AJ660" s="132">
        <f t="shared" si="209"/>
        <v>241850</v>
      </c>
      <c r="AK660" s="133">
        <f t="shared" si="210"/>
        <v>1243</v>
      </c>
      <c r="AL660" s="310"/>
      <c r="AM660" s="133" t="s">
        <v>886</v>
      </c>
      <c r="AN660" s="246">
        <v>44845</v>
      </c>
      <c r="AO660" s="100"/>
    </row>
    <row r="661" s="96" customFormat="1" customHeight="1" spans="1:41">
      <c r="A661" s="115" t="s">
        <v>6469</v>
      </c>
      <c r="B661" s="111" t="s">
        <v>6470</v>
      </c>
      <c r="C661" s="554" t="s">
        <v>6471</v>
      </c>
      <c r="D661" s="113" t="s">
        <v>6472</v>
      </c>
      <c r="E661" s="113">
        <v>15137252023</v>
      </c>
      <c r="F661" s="267">
        <v>1</v>
      </c>
      <c r="G661" s="268">
        <v>1697</v>
      </c>
      <c r="H661" s="274">
        <v>16.07</v>
      </c>
      <c r="I661" s="274" t="s">
        <v>2657</v>
      </c>
      <c r="J661" s="113" t="s">
        <v>6473</v>
      </c>
      <c r="K661" s="116">
        <v>17.18</v>
      </c>
      <c r="L661" s="266" t="s">
        <v>3205</v>
      </c>
      <c r="M661" s="266" t="s">
        <v>4806</v>
      </c>
      <c r="N661" s="113" t="s">
        <v>66</v>
      </c>
      <c r="O661" s="113"/>
      <c r="P661" s="113"/>
      <c r="Q661" s="113">
        <v>47031.55</v>
      </c>
      <c r="R661" s="113">
        <v>808002</v>
      </c>
      <c r="S661" s="121">
        <v>408002</v>
      </c>
      <c r="T661" s="292">
        <f t="shared" si="204"/>
        <v>400000</v>
      </c>
      <c r="U661" s="113"/>
      <c r="V661" s="113"/>
      <c r="W661" s="113"/>
      <c r="X661" s="113"/>
      <c r="Y661" s="113"/>
      <c r="Z661" s="113"/>
      <c r="AA661" s="275"/>
      <c r="AB661" s="113"/>
      <c r="AC661" s="113"/>
      <c r="AD661" s="113"/>
      <c r="AE661" s="133"/>
      <c r="AF661" s="115"/>
      <c r="AG661" s="133"/>
      <c r="AH661" s="133"/>
      <c r="AI661" s="132">
        <f t="shared" si="208"/>
        <v>408002</v>
      </c>
      <c r="AJ661" s="132">
        <f t="shared" si="209"/>
        <v>408002</v>
      </c>
      <c r="AK661" s="133">
        <f t="shared" si="210"/>
        <v>0</v>
      </c>
      <c r="AL661" s="310"/>
      <c r="AM661" s="133" t="s">
        <v>886</v>
      </c>
      <c r="AN661" s="246">
        <v>44845</v>
      </c>
      <c r="AO661" s="100"/>
    </row>
    <row r="662" s="96" customFormat="1" customHeight="1" spans="1:41">
      <c r="A662" s="115" t="s">
        <v>6474</v>
      </c>
      <c r="B662" s="111" t="s">
        <v>6475</v>
      </c>
      <c r="C662" s="554" t="s">
        <v>6476</v>
      </c>
      <c r="D662" s="113" t="s">
        <v>6477</v>
      </c>
      <c r="E662" s="113">
        <v>13810873463</v>
      </c>
      <c r="F662" s="267">
        <v>4</v>
      </c>
      <c r="G662" s="268">
        <v>415</v>
      </c>
      <c r="H662" s="274">
        <v>20.01</v>
      </c>
      <c r="I662" s="274" t="s">
        <v>2657</v>
      </c>
      <c r="J662" s="113" t="s">
        <v>6478</v>
      </c>
      <c r="K662" s="116">
        <v>15.73</v>
      </c>
      <c r="L662" s="266" t="s">
        <v>3408</v>
      </c>
      <c r="M662" s="266" t="s">
        <v>2806</v>
      </c>
      <c r="N662" s="113" t="s">
        <v>56</v>
      </c>
      <c r="O662" s="113"/>
      <c r="P662" s="113"/>
      <c r="Q662" s="113">
        <v>24619.2</v>
      </c>
      <c r="R662" s="113">
        <v>387260</v>
      </c>
      <c r="S662" s="121">
        <v>197260</v>
      </c>
      <c r="T662" s="292">
        <f t="shared" si="204"/>
        <v>190000</v>
      </c>
      <c r="U662" s="113"/>
      <c r="V662" s="113"/>
      <c r="W662" s="113"/>
      <c r="X662" s="113"/>
      <c r="Y662" s="113"/>
      <c r="Z662" s="113"/>
      <c r="AA662" s="275"/>
      <c r="AB662" s="113"/>
      <c r="AC662" s="113"/>
      <c r="AD662" s="113"/>
      <c r="AE662" s="133"/>
      <c r="AF662" s="115"/>
      <c r="AG662" s="133"/>
      <c r="AH662" s="133"/>
      <c r="AI662" s="132">
        <f t="shared" si="208"/>
        <v>197260</v>
      </c>
      <c r="AJ662" s="132">
        <f t="shared" si="209"/>
        <v>197260</v>
      </c>
      <c r="AK662" s="133">
        <f t="shared" si="210"/>
        <v>0</v>
      </c>
      <c r="AL662" s="310"/>
      <c r="AM662" s="133" t="s">
        <v>886</v>
      </c>
      <c r="AN662" s="246">
        <v>44846</v>
      </c>
      <c r="AO662" s="100"/>
    </row>
    <row r="663" s="96" customFormat="1" customHeight="1" spans="1:41">
      <c r="A663" s="115" t="s">
        <v>6479</v>
      </c>
      <c r="B663" s="111" t="s">
        <v>6475</v>
      </c>
      <c r="C663" s="554" t="s">
        <v>6476</v>
      </c>
      <c r="D663" s="113" t="s">
        <v>6477</v>
      </c>
      <c r="E663" s="113">
        <v>13810873463</v>
      </c>
      <c r="F663" s="267">
        <v>4</v>
      </c>
      <c r="G663" s="268">
        <v>414</v>
      </c>
      <c r="H663" s="274">
        <v>18.58</v>
      </c>
      <c r="I663" s="274" t="s">
        <v>2657</v>
      </c>
      <c r="J663" s="113" t="s">
        <v>6480</v>
      </c>
      <c r="K663" s="116">
        <v>13.55</v>
      </c>
      <c r="L663" s="266" t="s">
        <v>3408</v>
      </c>
      <c r="M663" s="266" t="s">
        <v>2806</v>
      </c>
      <c r="N663" s="113" t="s">
        <v>56</v>
      </c>
      <c r="O663" s="113"/>
      <c r="P663" s="113"/>
      <c r="Q663" s="113">
        <v>24740.44</v>
      </c>
      <c r="R663" s="113">
        <v>335233</v>
      </c>
      <c r="S663" s="121">
        <v>175233</v>
      </c>
      <c r="T663" s="292">
        <f t="shared" si="204"/>
        <v>160000</v>
      </c>
      <c r="U663" s="113"/>
      <c r="V663" s="113"/>
      <c r="W663" s="113"/>
      <c r="X663" s="113"/>
      <c r="Y663" s="113"/>
      <c r="Z663" s="113"/>
      <c r="AA663" s="275"/>
      <c r="AB663" s="113"/>
      <c r="AC663" s="113"/>
      <c r="AD663" s="113"/>
      <c r="AE663" s="133"/>
      <c r="AF663" s="115"/>
      <c r="AG663" s="133"/>
      <c r="AH663" s="133"/>
      <c r="AI663" s="132">
        <f t="shared" ref="AI663:AI674" si="211">S663+U663+V663+W663+X663+AC663+AD663+AE663</f>
        <v>175233</v>
      </c>
      <c r="AJ663" s="132">
        <f t="shared" ref="AJ663:AJ674" si="212">S663+U663+V663+W663+X663</f>
        <v>175233</v>
      </c>
      <c r="AK663" s="133">
        <f t="shared" ref="AK663:AK674" si="213">AI663-AJ663</f>
        <v>0</v>
      </c>
      <c r="AL663" s="310"/>
      <c r="AM663" s="133" t="s">
        <v>886</v>
      </c>
      <c r="AN663" s="246">
        <v>44846</v>
      </c>
      <c r="AO663" s="100"/>
    </row>
    <row r="664" s="96" customFormat="1" customHeight="1" spans="1:41">
      <c r="A664" s="115" t="s">
        <v>6481</v>
      </c>
      <c r="B664" s="111" t="s">
        <v>6482</v>
      </c>
      <c r="C664" s="554" t="s">
        <v>6483</v>
      </c>
      <c r="D664" s="113" t="s">
        <v>6484</v>
      </c>
      <c r="E664" s="113">
        <v>15515551307</v>
      </c>
      <c r="F664" s="267">
        <v>1</v>
      </c>
      <c r="G664" s="268">
        <v>1601</v>
      </c>
      <c r="H664" s="274">
        <v>20.92</v>
      </c>
      <c r="I664" s="274" t="s">
        <v>2657</v>
      </c>
      <c r="J664" s="113" t="s">
        <v>6485</v>
      </c>
      <c r="K664" s="116">
        <v>20.47</v>
      </c>
      <c r="L664" s="266" t="s">
        <v>5580</v>
      </c>
      <c r="M664" s="266" t="s">
        <v>6486</v>
      </c>
      <c r="N664" s="113" t="s">
        <v>56</v>
      </c>
      <c r="O664" s="113"/>
      <c r="P664" s="113"/>
      <c r="Q664" s="113">
        <v>45702.25</v>
      </c>
      <c r="R664" s="113">
        <v>956091</v>
      </c>
      <c r="S664" s="121">
        <v>956091</v>
      </c>
      <c r="T664" s="292">
        <f t="shared" si="204"/>
        <v>0</v>
      </c>
      <c r="U664" s="113"/>
      <c r="V664" s="113">
        <v>1359</v>
      </c>
      <c r="W664" s="113">
        <v>550</v>
      </c>
      <c r="X664" s="113"/>
      <c r="Y664" s="113" t="s">
        <v>2669</v>
      </c>
      <c r="Z664" s="113"/>
      <c r="AA664" s="275"/>
      <c r="AB664" s="113" t="s">
        <v>6487</v>
      </c>
      <c r="AC664" s="113"/>
      <c r="AD664" s="113"/>
      <c r="AE664" s="133"/>
      <c r="AF664" s="115"/>
      <c r="AG664" s="133"/>
      <c r="AH664" s="133"/>
      <c r="AI664" s="132">
        <f t="shared" si="211"/>
        <v>958000</v>
      </c>
      <c r="AJ664" s="132">
        <f t="shared" si="212"/>
        <v>958000</v>
      </c>
      <c r="AK664" s="133">
        <f t="shared" si="213"/>
        <v>0</v>
      </c>
      <c r="AL664" s="310"/>
      <c r="AM664" s="133" t="s">
        <v>886</v>
      </c>
      <c r="AN664" s="246">
        <v>44846</v>
      </c>
      <c r="AO664" s="100"/>
    </row>
    <row r="665" s="96" customFormat="1" customHeight="1" spans="1:41">
      <c r="A665" s="115" t="s">
        <v>6488</v>
      </c>
      <c r="B665" s="111" t="s">
        <v>6489</v>
      </c>
      <c r="C665" s="111" t="s">
        <v>6490</v>
      </c>
      <c r="D665" s="113" t="s">
        <v>6491</v>
      </c>
      <c r="E665" s="558" t="s">
        <v>5850</v>
      </c>
      <c r="F665" s="267">
        <v>4</v>
      </c>
      <c r="G665" s="268">
        <v>4306</v>
      </c>
      <c r="H665" s="274">
        <v>14.49</v>
      </c>
      <c r="I665" s="274" t="s">
        <v>2657</v>
      </c>
      <c r="J665" s="113" t="s">
        <v>6492</v>
      </c>
      <c r="K665" s="116">
        <v>13.28</v>
      </c>
      <c r="L665" s="266" t="s">
        <v>3408</v>
      </c>
      <c r="M665" s="266" t="s">
        <v>2685</v>
      </c>
      <c r="N665" s="113" t="s">
        <v>66</v>
      </c>
      <c r="O665" s="113"/>
      <c r="P665" s="113"/>
      <c r="Q665" s="113">
        <v>25190.06</v>
      </c>
      <c r="R665" s="113">
        <v>365004</v>
      </c>
      <c r="S665" s="121">
        <v>185004</v>
      </c>
      <c r="T665" s="292">
        <f t="shared" si="204"/>
        <v>180000</v>
      </c>
      <c r="U665" s="113"/>
      <c r="V665" s="113">
        <v>941</v>
      </c>
      <c r="W665" s="113">
        <v>550</v>
      </c>
      <c r="X665" s="113"/>
      <c r="Y665" s="113"/>
      <c r="Z665" s="113"/>
      <c r="AA665" s="113"/>
      <c r="AB665" s="113" t="s">
        <v>6493</v>
      </c>
      <c r="AC665" s="327">
        <v>1238</v>
      </c>
      <c r="AD665" s="115"/>
      <c r="AE665" s="115"/>
      <c r="AF665" s="115"/>
      <c r="AG665" s="115"/>
      <c r="AH665" s="115"/>
      <c r="AI665" s="132">
        <f t="shared" si="211"/>
        <v>187733</v>
      </c>
      <c r="AJ665" s="132">
        <f t="shared" si="212"/>
        <v>186495</v>
      </c>
      <c r="AK665" s="133">
        <f t="shared" si="213"/>
        <v>1238</v>
      </c>
      <c r="AL665" s="155"/>
      <c r="AM665" s="115" t="s">
        <v>974</v>
      </c>
      <c r="AN665" s="246">
        <v>44846</v>
      </c>
      <c r="AO665" s="100"/>
    </row>
    <row r="666" s="96" customFormat="1" customHeight="1" spans="1:41">
      <c r="A666" s="115" t="s">
        <v>6494</v>
      </c>
      <c r="B666" s="111" t="s">
        <v>6489</v>
      </c>
      <c r="C666" s="111" t="s">
        <v>6490</v>
      </c>
      <c r="D666" s="113" t="s">
        <v>6491</v>
      </c>
      <c r="E666" s="558" t="s">
        <v>5850</v>
      </c>
      <c r="F666" s="267">
        <v>4</v>
      </c>
      <c r="G666" s="268">
        <v>4299</v>
      </c>
      <c r="H666" s="274">
        <v>14.97</v>
      </c>
      <c r="I666" s="274" t="s">
        <v>2657</v>
      </c>
      <c r="J666" s="113" t="s">
        <v>6495</v>
      </c>
      <c r="K666" s="116">
        <v>12.72</v>
      </c>
      <c r="L666" s="266" t="s">
        <v>3408</v>
      </c>
      <c r="M666" s="266" t="s">
        <v>2685</v>
      </c>
      <c r="N666" s="113" t="s">
        <v>66</v>
      </c>
      <c r="O666" s="113"/>
      <c r="P666" s="113"/>
      <c r="Q666" s="113">
        <v>25102.34</v>
      </c>
      <c r="R666" s="113">
        <v>375782</v>
      </c>
      <c r="S666" s="121">
        <v>195782</v>
      </c>
      <c r="T666" s="292">
        <f t="shared" si="204"/>
        <v>180000</v>
      </c>
      <c r="U666" s="113"/>
      <c r="V666" s="113">
        <v>973</v>
      </c>
      <c r="W666" s="113">
        <v>550</v>
      </c>
      <c r="X666" s="113"/>
      <c r="Y666" s="113"/>
      <c r="Z666" s="113"/>
      <c r="AA666" s="113"/>
      <c r="AB666" s="113" t="s">
        <v>6493</v>
      </c>
      <c r="AC666" s="327">
        <v>1238</v>
      </c>
      <c r="AD666" s="115"/>
      <c r="AE666" s="115"/>
      <c r="AF666" s="115"/>
      <c r="AG666" s="115"/>
      <c r="AH666" s="115"/>
      <c r="AI666" s="132">
        <f t="shared" si="211"/>
        <v>198543</v>
      </c>
      <c r="AJ666" s="132">
        <f t="shared" si="212"/>
        <v>197305</v>
      </c>
      <c r="AK666" s="133">
        <f t="shared" si="213"/>
        <v>1238</v>
      </c>
      <c r="AL666" s="155"/>
      <c r="AM666" s="115" t="s">
        <v>974</v>
      </c>
      <c r="AN666" s="246">
        <v>44846</v>
      </c>
      <c r="AO666" s="100"/>
    </row>
    <row r="667" s="96" customFormat="1" customHeight="1" spans="1:41">
      <c r="A667" s="115" t="s">
        <v>6496</v>
      </c>
      <c r="B667" s="111" t="s">
        <v>6489</v>
      </c>
      <c r="C667" s="111" t="s">
        <v>6490</v>
      </c>
      <c r="D667" s="113" t="s">
        <v>6491</v>
      </c>
      <c r="E667" s="558" t="s">
        <v>5850</v>
      </c>
      <c r="F667" s="267">
        <v>4</v>
      </c>
      <c r="G667" s="268">
        <v>4305</v>
      </c>
      <c r="H667" s="274">
        <v>14.49</v>
      </c>
      <c r="I667" s="274" t="s">
        <v>2657</v>
      </c>
      <c r="J667" s="113" t="s">
        <v>6497</v>
      </c>
      <c r="K667" s="116">
        <v>13.28</v>
      </c>
      <c r="L667" s="266" t="s">
        <v>3408</v>
      </c>
      <c r="M667" s="266" t="s">
        <v>2685</v>
      </c>
      <c r="N667" s="113" t="s">
        <v>66</v>
      </c>
      <c r="O667" s="113"/>
      <c r="P667" s="113"/>
      <c r="Q667" s="113">
        <v>25190.06</v>
      </c>
      <c r="R667" s="113">
        <v>365004</v>
      </c>
      <c r="S667" s="121">
        <v>185004</v>
      </c>
      <c r="T667" s="292">
        <f t="shared" si="204"/>
        <v>180000</v>
      </c>
      <c r="U667" s="113"/>
      <c r="V667" s="113">
        <v>941</v>
      </c>
      <c r="W667" s="113">
        <v>550</v>
      </c>
      <c r="X667" s="113"/>
      <c r="Y667" s="113"/>
      <c r="Z667" s="113"/>
      <c r="AA667" s="113"/>
      <c r="AB667" s="113" t="s">
        <v>6493</v>
      </c>
      <c r="AC667" s="327">
        <v>1238</v>
      </c>
      <c r="AD667" s="115"/>
      <c r="AE667" s="115"/>
      <c r="AF667" s="115"/>
      <c r="AG667" s="115"/>
      <c r="AH667" s="115"/>
      <c r="AI667" s="132">
        <f t="shared" si="211"/>
        <v>187733</v>
      </c>
      <c r="AJ667" s="132">
        <f t="shared" si="212"/>
        <v>186495</v>
      </c>
      <c r="AK667" s="133">
        <f t="shared" si="213"/>
        <v>1238</v>
      </c>
      <c r="AL667" s="298"/>
      <c r="AM667" s="115" t="s">
        <v>974</v>
      </c>
      <c r="AN667" s="246">
        <v>44846</v>
      </c>
      <c r="AO667" s="100"/>
    </row>
    <row r="668" s="96" customFormat="1" customHeight="1" spans="1:41">
      <c r="A668" s="115" t="s">
        <v>6498</v>
      </c>
      <c r="B668" s="111" t="s">
        <v>6499</v>
      </c>
      <c r="C668" s="554" t="s">
        <v>6500</v>
      </c>
      <c r="D668" s="113" t="s">
        <v>6501</v>
      </c>
      <c r="E668" s="113">
        <v>15333868062</v>
      </c>
      <c r="F668" s="267">
        <v>1</v>
      </c>
      <c r="G668" s="268">
        <v>1183</v>
      </c>
      <c r="H668" s="274">
        <v>17.25</v>
      </c>
      <c r="I668" s="274" t="s">
        <v>2657</v>
      </c>
      <c r="J668" s="113" t="s">
        <v>6502</v>
      </c>
      <c r="K668" s="116">
        <v>15.79</v>
      </c>
      <c r="L668" s="266" t="s">
        <v>3151</v>
      </c>
      <c r="M668" s="266" t="s">
        <v>6503</v>
      </c>
      <c r="N668" s="113" t="s">
        <v>66</v>
      </c>
      <c r="O668" s="113"/>
      <c r="P668" s="113"/>
      <c r="Q668" s="113">
        <v>48131.73</v>
      </c>
      <c r="R668" s="113">
        <v>760000</v>
      </c>
      <c r="S668" s="121">
        <v>380000</v>
      </c>
      <c r="T668" s="292">
        <f t="shared" si="204"/>
        <v>380000</v>
      </c>
      <c r="U668" s="113"/>
      <c r="V668" s="113"/>
      <c r="W668" s="113"/>
      <c r="X668" s="113"/>
      <c r="Y668" s="113"/>
      <c r="Z668" s="113"/>
      <c r="AA668" s="275"/>
      <c r="AB668" s="113"/>
      <c r="AC668" s="113"/>
      <c r="AD668" s="122"/>
      <c r="AE668" s="133"/>
      <c r="AF668" s="115"/>
      <c r="AG668" s="133"/>
      <c r="AH668" s="133"/>
      <c r="AI668" s="132">
        <f t="shared" si="211"/>
        <v>380000</v>
      </c>
      <c r="AJ668" s="132">
        <f t="shared" si="212"/>
        <v>380000</v>
      </c>
      <c r="AK668" s="133">
        <f t="shared" si="213"/>
        <v>0</v>
      </c>
      <c r="AL668" s="329"/>
      <c r="AM668" s="133" t="s">
        <v>886</v>
      </c>
      <c r="AN668" s="246">
        <v>44846</v>
      </c>
      <c r="AO668" s="100"/>
    </row>
    <row r="669" s="96" customFormat="1" customHeight="1" spans="1:41">
      <c r="A669" s="115" t="s">
        <v>6504</v>
      </c>
      <c r="B669" s="111" t="s">
        <v>6505</v>
      </c>
      <c r="C669" s="554" t="s">
        <v>6506</v>
      </c>
      <c r="D669" s="113"/>
      <c r="E669" s="113">
        <v>18203622716</v>
      </c>
      <c r="F669" s="267">
        <v>1</v>
      </c>
      <c r="G669" s="268">
        <v>1744</v>
      </c>
      <c r="H669" s="274">
        <v>16.5</v>
      </c>
      <c r="I669" s="274" t="s">
        <v>2657</v>
      </c>
      <c r="J669" s="113" t="s">
        <v>6507</v>
      </c>
      <c r="K669" s="116">
        <v>18.47</v>
      </c>
      <c r="L669" s="266" t="s">
        <v>3634</v>
      </c>
      <c r="M669" s="266" t="s">
        <v>5198</v>
      </c>
      <c r="N669" s="113" t="s">
        <v>66</v>
      </c>
      <c r="O669" s="113"/>
      <c r="P669" s="113"/>
      <c r="Q669" s="113">
        <v>47103.41</v>
      </c>
      <c r="R669" s="113">
        <v>777206</v>
      </c>
      <c r="S669" s="121">
        <v>447206</v>
      </c>
      <c r="T669" s="292">
        <v>330000</v>
      </c>
      <c r="U669" s="113"/>
      <c r="V669" s="113">
        <v>1072</v>
      </c>
      <c r="W669" s="113">
        <v>550</v>
      </c>
      <c r="X669" s="113"/>
      <c r="Y669" s="113"/>
      <c r="Z669" s="113"/>
      <c r="AA669" s="275"/>
      <c r="AB669" s="113"/>
      <c r="AC669" s="113"/>
      <c r="AD669" s="122">
        <v>37926.3628551293</v>
      </c>
      <c r="AE669" s="133"/>
      <c r="AF669" s="115"/>
      <c r="AG669" s="133"/>
      <c r="AH669" s="133"/>
      <c r="AI669" s="132">
        <f t="shared" si="211"/>
        <v>486754.362855129</v>
      </c>
      <c r="AJ669" s="132">
        <f t="shared" si="212"/>
        <v>448828</v>
      </c>
      <c r="AK669" s="133">
        <f t="shared" si="213"/>
        <v>37926.3628551293</v>
      </c>
      <c r="AL669" s="330" t="s">
        <v>6508</v>
      </c>
      <c r="AM669" s="133" t="s">
        <v>886</v>
      </c>
      <c r="AN669" s="246">
        <v>44846</v>
      </c>
      <c r="AO669" s="100"/>
    </row>
    <row r="670" s="96" customFormat="1" customHeight="1" spans="1:41">
      <c r="A670" s="115" t="s">
        <v>6509</v>
      </c>
      <c r="B670" s="111" t="s">
        <v>6505</v>
      </c>
      <c r="C670" s="554" t="s">
        <v>6510</v>
      </c>
      <c r="D670" s="113" t="s">
        <v>6511</v>
      </c>
      <c r="E670" s="113">
        <v>18203622776</v>
      </c>
      <c r="F670" s="267">
        <v>1</v>
      </c>
      <c r="G670" s="268">
        <v>1799</v>
      </c>
      <c r="H670" s="274">
        <v>16.44</v>
      </c>
      <c r="I670" s="274" t="s">
        <v>2657</v>
      </c>
      <c r="J670" s="113" t="s">
        <v>6512</v>
      </c>
      <c r="K670" s="116">
        <v>17.06</v>
      </c>
      <c r="L670" s="266" t="s">
        <v>6031</v>
      </c>
      <c r="M670" s="266" t="s">
        <v>5091</v>
      </c>
      <c r="N670" s="113" t="s">
        <v>66</v>
      </c>
      <c r="O670" s="113"/>
      <c r="P670" s="113"/>
      <c r="Q670" s="113">
        <v>47069.16</v>
      </c>
      <c r="R670" s="113">
        <v>773817</v>
      </c>
      <c r="S670" s="121">
        <v>393817</v>
      </c>
      <c r="T670" s="292">
        <v>380000</v>
      </c>
      <c r="U670" s="113"/>
      <c r="V670" s="113">
        <v>1068</v>
      </c>
      <c r="W670" s="113">
        <v>550</v>
      </c>
      <c r="X670" s="113"/>
      <c r="Y670" s="113"/>
      <c r="Z670" s="113"/>
      <c r="AA670" s="275"/>
      <c r="AB670" s="113" t="s">
        <v>6513</v>
      </c>
      <c r="AC670" s="113"/>
      <c r="AD670" s="122">
        <v>33414.6071448707</v>
      </c>
      <c r="AE670" s="133"/>
      <c r="AF670" s="115"/>
      <c r="AG670" s="133"/>
      <c r="AH670" s="133"/>
      <c r="AI670" s="132">
        <f t="shared" si="211"/>
        <v>428849.607144871</v>
      </c>
      <c r="AJ670" s="132">
        <f t="shared" si="212"/>
        <v>395435</v>
      </c>
      <c r="AK670" s="133">
        <f t="shared" si="213"/>
        <v>33414.6071448707</v>
      </c>
      <c r="AL670" s="330" t="s">
        <v>6508</v>
      </c>
      <c r="AM670" s="133" t="s">
        <v>886</v>
      </c>
      <c r="AN670" s="246">
        <v>44846</v>
      </c>
      <c r="AO670" s="100"/>
    </row>
    <row r="671" s="96" customFormat="1" customHeight="1" spans="1:41">
      <c r="A671" s="115" t="s">
        <v>6514</v>
      </c>
      <c r="B671" s="111" t="s">
        <v>6515</v>
      </c>
      <c r="C671" s="111" t="s">
        <v>6516</v>
      </c>
      <c r="D671" s="113" t="s">
        <v>6517</v>
      </c>
      <c r="E671" s="113">
        <v>18503828885</v>
      </c>
      <c r="F671" s="267">
        <v>3</v>
      </c>
      <c r="G671" s="268">
        <v>3228</v>
      </c>
      <c r="H671" s="274">
        <v>14.48</v>
      </c>
      <c r="I671" s="274" t="s">
        <v>2657</v>
      </c>
      <c r="J671" s="113" t="s">
        <v>6518</v>
      </c>
      <c r="K671" s="116">
        <v>13.28</v>
      </c>
      <c r="L671" s="266" t="s">
        <v>2848</v>
      </c>
      <c r="M671" s="266" t="s">
        <v>3017</v>
      </c>
      <c r="N671" s="113" t="s">
        <v>66</v>
      </c>
      <c r="O671" s="113"/>
      <c r="P671" s="113"/>
      <c r="Q671" s="113">
        <v>30711.26</v>
      </c>
      <c r="R671" s="113">
        <v>444699</v>
      </c>
      <c r="S671" s="121">
        <v>224699</v>
      </c>
      <c r="T671" s="292">
        <f>R671-S671</f>
        <v>220000</v>
      </c>
      <c r="U671" s="113"/>
      <c r="V671" s="113">
        <v>941</v>
      </c>
      <c r="W671" s="113">
        <v>550</v>
      </c>
      <c r="X671" s="113"/>
      <c r="Y671" s="113" t="s">
        <v>2669</v>
      </c>
      <c r="Z671" s="113"/>
      <c r="AA671" s="275"/>
      <c r="AB671" s="113"/>
      <c r="AC671" s="113"/>
      <c r="AD671" s="113"/>
      <c r="AE671" s="133"/>
      <c r="AF671" s="115"/>
      <c r="AG671" s="133"/>
      <c r="AH671" s="133"/>
      <c r="AI671" s="132">
        <f t="shared" si="211"/>
        <v>226190</v>
      </c>
      <c r="AJ671" s="132">
        <f t="shared" si="212"/>
        <v>226190</v>
      </c>
      <c r="AK671" s="133">
        <f t="shared" si="213"/>
        <v>0</v>
      </c>
      <c r="AL671" s="331"/>
      <c r="AM671" s="133" t="s">
        <v>886</v>
      </c>
      <c r="AN671" s="246">
        <v>44846</v>
      </c>
      <c r="AO671" s="100"/>
    </row>
    <row r="672" s="96" customFormat="1" customHeight="1" spans="1:41">
      <c r="A672" s="115" t="s">
        <v>6519</v>
      </c>
      <c r="B672" s="111" t="s">
        <v>6520</v>
      </c>
      <c r="C672" s="111" t="s">
        <v>6521</v>
      </c>
      <c r="D672" s="113" t="s">
        <v>6522</v>
      </c>
      <c r="E672" s="113">
        <v>18103715727</v>
      </c>
      <c r="F672" s="267">
        <v>4</v>
      </c>
      <c r="G672" s="268">
        <v>4357</v>
      </c>
      <c r="H672" s="274">
        <v>21.59</v>
      </c>
      <c r="I672" s="274" t="s">
        <v>2657</v>
      </c>
      <c r="J672" s="113" t="s">
        <v>6523</v>
      </c>
      <c r="K672" s="116">
        <v>17.81</v>
      </c>
      <c r="L672" s="266" t="s">
        <v>3408</v>
      </c>
      <c r="M672" s="266" t="s">
        <v>3739</v>
      </c>
      <c r="N672" s="113" t="s">
        <v>66</v>
      </c>
      <c r="O672" s="113"/>
      <c r="P672" s="113"/>
      <c r="Q672" s="113">
        <v>26034.92</v>
      </c>
      <c r="R672" s="113">
        <v>463682</v>
      </c>
      <c r="S672" s="121">
        <v>233682</v>
      </c>
      <c r="T672" s="292">
        <f>R672-S672</f>
        <v>230000</v>
      </c>
      <c r="U672" s="113"/>
      <c r="V672" s="113"/>
      <c r="W672" s="113"/>
      <c r="X672" s="113"/>
      <c r="Y672" s="113"/>
      <c r="Z672" s="113"/>
      <c r="AA672" s="275"/>
      <c r="AB672" s="113"/>
      <c r="AC672" s="113"/>
      <c r="AD672" s="113"/>
      <c r="AE672" s="133"/>
      <c r="AF672" s="115"/>
      <c r="AG672" s="133"/>
      <c r="AH672" s="133"/>
      <c r="AI672" s="132">
        <f t="shared" si="211"/>
        <v>233682</v>
      </c>
      <c r="AJ672" s="132">
        <f t="shared" si="212"/>
        <v>233682</v>
      </c>
      <c r="AK672" s="133">
        <f t="shared" si="213"/>
        <v>0</v>
      </c>
      <c r="AL672" s="331"/>
      <c r="AM672" s="133" t="s">
        <v>886</v>
      </c>
      <c r="AN672" s="246">
        <v>44846</v>
      </c>
      <c r="AO672" s="100"/>
    </row>
    <row r="673" s="96" customFormat="1" customHeight="1" spans="1:41">
      <c r="A673" s="115" t="s">
        <v>6524</v>
      </c>
      <c r="B673" s="111" t="s">
        <v>6525</v>
      </c>
      <c r="C673" s="554" t="s">
        <v>6526</v>
      </c>
      <c r="D673" s="113" t="s">
        <v>6527</v>
      </c>
      <c r="E673" s="113">
        <v>15893282995</v>
      </c>
      <c r="F673" s="267">
        <v>1</v>
      </c>
      <c r="G673" s="268">
        <v>1226</v>
      </c>
      <c r="H673" s="274">
        <v>18.75</v>
      </c>
      <c r="I673" s="274" t="s">
        <v>2657</v>
      </c>
      <c r="J673" s="113" t="s">
        <v>6528</v>
      </c>
      <c r="K673" s="116">
        <v>18.04</v>
      </c>
      <c r="L673" s="266" t="s">
        <v>2954</v>
      </c>
      <c r="M673" s="266" t="s">
        <v>3793</v>
      </c>
      <c r="N673" s="113" t="s">
        <v>56</v>
      </c>
      <c r="O673" s="113"/>
      <c r="P673" s="113"/>
      <c r="Q673" s="113">
        <v>46255.04</v>
      </c>
      <c r="R673" s="113">
        <v>834441</v>
      </c>
      <c r="S673" s="121">
        <v>834441</v>
      </c>
      <c r="T673" s="292">
        <f>R673-S673</f>
        <v>0</v>
      </c>
      <c r="U673" s="113"/>
      <c r="V673" s="113"/>
      <c r="W673" s="113"/>
      <c r="X673" s="113"/>
      <c r="Y673" s="113"/>
      <c r="Z673" s="113"/>
      <c r="AA673" s="275"/>
      <c r="AB673" s="113"/>
      <c r="AC673" s="113"/>
      <c r="AD673" s="122"/>
      <c r="AE673" s="133"/>
      <c r="AF673" s="115"/>
      <c r="AG673" s="133"/>
      <c r="AH673" s="133"/>
      <c r="AI673" s="132">
        <f t="shared" si="211"/>
        <v>834441</v>
      </c>
      <c r="AJ673" s="132">
        <f t="shared" si="212"/>
        <v>834441</v>
      </c>
      <c r="AK673" s="133">
        <f t="shared" si="213"/>
        <v>0</v>
      </c>
      <c r="AL673" s="329"/>
      <c r="AM673" s="133" t="s">
        <v>886</v>
      </c>
      <c r="AN673" s="246">
        <v>44846</v>
      </c>
      <c r="AO673" s="100"/>
    </row>
    <row r="674" s="96" customFormat="1" customHeight="1" spans="1:41">
      <c r="A674" s="115" t="s">
        <v>6529</v>
      </c>
      <c r="B674" s="111" t="s">
        <v>6530</v>
      </c>
      <c r="C674" s="554" t="s">
        <v>6531</v>
      </c>
      <c r="D674" s="113" t="s">
        <v>6532</v>
      </c>
      <c r="E674" s="113">
        <v>13938952049</v>
      </c>
      <c r="F674" s="267">
        <v>4</v>
      </c>
      <c r="G674" s="268">
        <v>4247</v>
      </c>
      <c r="H674" s="274">
        <v>15.37</v>
      </c>
      <c r="I674" s="274" t="s">
        <v>2657</v>
      </c>
      <c r="J674" s="113" t="s">
        <v>6533</v>
      </c>
      <c r="K674" s="116">
        <v>13.39</v>
      </c>
      <c r="L674" s="266" t="s">
        <v>2691</v>
      </c>
      <c r="M674" s="266" t="s">
        <v>2746</v>
      </c>
      <c r="N674" s="113" t="s">
        <v>66</v>
      </c>
      <c r="O674" s="113"/>
      <c r="P674" s="113"/>
      <c r="Q674" s="113">
        <v>27362.14</v>
      </c>
      <c r="R674" s="113">
        <v>366379</v>
      </c>
      <c r="S674" s="121">
        <v>186379</v>
      </c>
      <c r="T674" s="292">
        <f>R674-S674</f>
        <v>180000</v>
      </c>
      <c r="U674" s="113"/>
      <c r="V674" s="113"/>
      <c r="W674" s="113"/>
      <c r="X674" s="113"/>
      <c r="Y674" s="113"/>
      <c r="Z674" s="113"/>
      <c r="AA674" s="275"/>
      <c r="AB674" s="113"/>
      <c r="AC674" s="113"/>
      <c r="AD674" s="122"/>
      <c r="AE674" s="133"/>
      <c r="AF674" s="115"/>
      <c r="AG674" s="133"/>
      <c r="AH674" s="133"/>
      <c r="AI674" s="132">
        <f t="shared" si="211"/>
        <v>186379</v>
      </c>
      <c r="AJ674" s="132">
        <f t="shared" si="212"/>
        <v>186379</v>
      </c>
      <c r="AK674" s="133">
        <f t="shared" si="213"/>
        <v>0</v>
      </c>
      <c r="AL674" s="329"/>
      <c r="AM674" s="133" t="s">
        <v>886</v>
      </c>
      <c r="AN674" s="246">
        <v>44846</v>
      </c>
      <c r="AO674" s="100"/>
    </row>
    <row r="675" s="96" customFormat="1" customHeight="1" spans="1:41">
      <c r="A675" s="115" t="s">
        <v>6534</v>
      </c>
      <c r="B675" s="111" t="s">
        <v>6535</v>
      </c>
      <c r="C675" s="111" t="s">
        <v>6536</v>
      </c>
      <c r="D675" s="113" t="s">
        <v>6537</v>
      </c>
      <c r="E675" s="113">
        <v>15188310449</v>
      </c>
      <c r="F675" s="267">
        <v>3</v>
      </c>
      <c r="G675" s="268">
        <v>3603</v>
      </c>
      <c r="H675" s="274">
        <v>16.36</v>
      </c>
      <c r="I675" s="274" t="s">
        <v>2657</v>
      </c>
      <c r="J675" s="113" t="s">
        <v>6538</v>
      </c>
      <c r="K675" s="116">
        <v>14.87</v>
      </c>
      <c r="L675" s="266" t="s">
        <v>3538</v>
      </c>
      <c r="M675" s="266" t="s">
        <v>6539</v>
      </c>
      <c r="N675" s="113" t="s">
        <v>56</v>
      </c>
      <c r="O675" s="113"/>
      <c r="P675" s="113"/>
      <c r="Q675" s="113">
        <v>31405.51</v>
      </c>
      <c r="R675" s="113">
        <v>513794</v>
      </c>
      <c r="S675" s="121">
        <v>513794</v>
      </c>
      <c r="T675" s="292">
        <f>R675-S675</f>
        <v>0</v>
      </c>
      <c r="U675" s="113"/>
      <c r="V675" s="113">
        <v>1063</v>
      </c>
      <c r="W675" s="113">
        <v>550</v>
      </c>
      <c r="X675" s="113"/>
      <c r="Y675" s="113" t="s">
        <v>2669</v>
      </c>
      <c r="Z675" s="113"/>
      <c r="AA675" s="275"/>
      <c r="AB675" s="113"/>
      <c r="AC675" s="113"/>
      <c r="AD675" s="122"/>
      <c r="AE675" s="133"/>
      <c r="AF675" s="115"/>
      <c r="AG675" s="133"/>
      <c r="AH675" s="133"/>
      <c r="AI675" s="132">
        <f t="shared" ref="AI675:AI687" si="214">S675+U675+V675+W675+X675+AC675+AD675+AE675</f>
        <v>515407</v>
      </c>
      <c r="AJ675" s="132">
        <f t="shared" ref="AJ675:AJ687" si="215">S675+U675+V675+W675+X675</f>
        <v>515407</v>
      </c>
      <c r="AK675" s="133">
        <f t="shared" ref="AK675:AK687" si="216">AI675-AJ675</f>
        <v>0</v>
      </c>
      <c r="AL675" s="329"/>
      <c r="AM675" s="133" t="s">
        <v>886</v>
      </c>
      <c r="AN675" s="246">
        <v>44846</v>
      </c>
      <c r="AO675" s="100"/>
    </row>
    <row r="676" s="96" customFormat="1" customHeight="1" spans="1:41">
      <c r="A676" s="115" t="s">
        <v>6540</v>
      </c>
      <c r="B676" s="111" t="s">
        <v>6541</v>
      </c>
      <c r="C676" s="111" t="s">
        <v>6542</v>
      </c>
      <c r="D676" s="113" t="s">
        <v>6543</v>
      </c>
      <c r="E676" s="113">
        <v>13526505674</v>
      </c>
      <c r="F676" s="267">
        <v>3</v>
      </c>
      <c r="G676" s="268">
        <v>3810</v>
      </c>
      <c r="H676" s="274">
        <v>15.81</v>
      </c>
      <c r="I676" s="274" t="s">
        <v>2657</v>
      </c>
      <c r="J676" s="113" t="s">
        <v>6544</v>
      </c>
      <c r="K676" s="116">
        <v>14.81</v>
      </c>
      <c r="L676" s="266" t="s">
        <v>4055</v>
      </c>
      <c r="M676" s="266" t="s">
        <v>2928</v>
      </c>
      <c r="N676" s="113" t="s">
        <v>66</v>
      </c>
      <c r="O676" s="113"/>
      <c r="P676" s="113"/>
      <c r="Q676" s="113">
        <v>32653.88</v>
      </c>
      <c r="R676" s="113">
        <v>516258</v>
      </c>
      <c r="S676" s="121">
        <v>266258</v>
      </c>
      <c r="T676" s="292"/>
      <c r="U676" s="113">
        <v>250000</v>
      </c>
      <c r="V676" s="113">
        <v>1027</v>
      </c>
      <c r="W676" s="113">
        <v>550</v>
      </c>
      <c r="X676" s="113"/>
      <c r="Y676" s="113" t="s">
        <v>2669</v>
      </c>
      <c r="Z676" s="113" t="s">
        <v>48</v>
      </c>
      <c r="AA676" s="275">
        <v>44021</v>
      </c>
      <c r="AB676" s="113"/>
      <c r="AC676" s="113">
        <v>1245</v>
      </c>
      <c r="AD676" s="122"/>
      <c r="AE676" s="133"/>
      <c r="AF676" s="115"/>
      <c r="AG676" s="133"/>
      <c r="AH676" s="133"/>
      <c r="AI676" s="132">
        <f t="shared" si="214"/>
        <v>519080</v>
      </c>
      <c r="AJ676" s="132">
        <f t="shared" si="215"/>
        <v>517835</v>
      </c>
      <c r="AK676" s="133">
        <f t="shared" si="216"/>
        <v>1245</v>
      </c>
      <c r="AL676" s="329"/>
      <c r="AM676" s="133" t="s">
        <v>886</v>
      </c>
      <c r="AN676" s="246">
        <v>44846</v>
      </c>
      <c r="AO676" s="100"/>
    </row>
    <row r="677" s="96" customFormat="1" customHeight="1" spans="1:41">
      <c r="A677" s="115" t="s">
        <v>6545</v>
      </c>
      <c r="B677" s="111" t="s">
        <v>6546</v>
      </c>
      <c r="C677" s="554" t="s">
        <v>6547</v>
      </c>
      <c r="D677" s="113"/>
      <c r="E677" s="113">
        <v>18931960903</v>
      </c>
      <c r="F677" s="267">
        <v>1</v>
      </c>
      <c r="G677" s="268">
        <v>1327</v>
      </c>
      <c r="H677" s="274">
        <v>15.32</v>
      </c>
      <c r="I677" s="274" t="s">
        <v>2657</v>
      </c>
      <c r="J677" s="113" t="s">
        <v>6548</v>
      </c>
      <c r="K677" s="116">
        <v>14.59</v>
      </c>
      <c r="L677" s="266" t="s">
        <v>2675</v>
      </c>
      <c r="M677" s="266" t="s">
        <v>3842</v>
      </c>
      <c r="N677" s="113" t="s">
        <v>66</v>
      </c>
      <c r="O677" s="113"/>
      <c r="P677" s="113"/>
      <c r="Q677" s="113">
        <v>49369.57</v>
      </c>
      <c r="R677" s="113">
        <v>756342</v>
      </c>
      <c r="S677" s="121">
        <v>386342</v>
      </c>
      <c r="T677" s="292">
        <f>R677-S677</f>
        <v>370000</v>
      </c>
      <c r="U677" s="113"/>
      <c r="V677" s="113">
        <v>995</v>
      </c>
      <c r="W677" s="113">
        <v>550</v>
      </c>
      <c r="X677" s="113"/>
      <c r="Y677" s="113" t="s">
        <v>2669</v>
      </c>
      <c r="Z677" s="113"/>
      <c r="AA677" s="275"/>
      <c r="AB677" s="113"/>
      <c r="AC677" s="113">
        <v>1257</v>
      </c>
      <c r="AD677" s="122"/>
      <c r="AE677" s="133"/>
      <c r="AF677" s="115"/>
      <c r="AG677" s="133"/>
      <c r="AH677" s="133"/>
      <c r="AI677" s="132">
        <f t="shared" si="214"/>
        <v>389144</v>
      </c>
      <c r="AJ677" s="132">
        <f t="shared" si="215"/>
        <v>387887</v>
      </c>
      <c r="AK677" s="133">
        <f t="shared" si="216"/>
        <v>1257</v>
      </c>
      <c r="AL677" s="329"/>
      <c r="AM677" s="133" t="s">
        <v>886</v>
      </c>
      <c r="AN677" s="246">
        <v>44846</v>
      </c>
      <c r="AO677" s="100"/>
    </row>
    <row r="678" s="96" customFormat="1" customHeight="1" spans="1:41">
      <c r="A678" s="115" t="s">
        <v>6549</v>
      </c>
      <c r="B678" s="111" t="s">
        <v>6550</v>
      </c>
      <c r="C678" s="111" t="s">
        <v>6551</v>
      </c>
      <c r="D678" s="113" t="s">
        <v>6552</v>
      </c>
      <c r="E678" s="113">
        <v>15936529853</v>
      </c>
      <c r="F678" s="267">
        <v>1</v>
      </c>
      <c r="G678" s="268">
        <v>1770</v>
      </c>
      <c r="H678" s="274">
        <v>15.32</v>
      </c>
      <c r="I678" s="274" t="s">
        <v>2657</v>
      </c>
      <c r="J678" s="113" t="s">
        <v>6553</v>
      </c>
      <c r="K678" s="116">
        <v>16.5</v>
      </c>
      <c r="L678" s="266" t="s">
        <v>3614</v>
      </c>
      <c r="M678" s="266" t="s">
        <v>3614</v>
      </c>
      <c r="N678" s="113" t="s">
        <v>66</v>
      </c>
      <c r="O678" s="113"/>
      <c r="P678" s="113"/>
      <c r="Q678" s="113">
        <v>47048.91</v>
      </c>
      <c r="R678" s="113">
        <v>776307</v>
      </c>
      <c r="S678" s="121">
        <v>396307</v>
      </c>
      <c r="T678" s="292"/>
      <c r="U678" s="113"/>
      <c r="V678" s="113"/>
      <c r="W678" s="113"/>
      <c r="X678" s="113"/>
      <c r="Y678" s="113"/>
      <c r="Z678" s="113"/>
      <c r="AA678" s="275"/>
      <c r="AB678" s="113"/>
      <c r="AC678" s="113"/>
      <c r="AD678" s="122"/>
      <c r="AE678" s="133"/>
      <c r="AF678" s="115"/>
      <c r="AG678" s="133"/>
      <c r="AH678" s="133"/>
      <c r="AI678" s="132">
        <f t="shared" si="214"/>
        <v>396307</v>
      </c>
      <c r="AJ678" s="132">
        <f t="shared" si="215"/>
        <v>396307</v>
      </c>
      <c r="AK678" s="133">
        <f t="shared" si="216"/>
        <v>0</v>
      </c>
      <c r="AL678" s="329"/>
      <c r="AM678" s="133" t="s">
        <v>886</v>
      </c>
      <c r="AN678" s="246">
        <v>44846</v>
      </c>
      <c r="AO678" s="100"/>
    </row>
    <row r="679" s="96" customFormat="1" customHeight="1" spans="1:41">
      <c r="A679" s="115" t="s">
        <v>6554</v>
      </c>
      <c r="B679" s="111" t="s">
        <v>6555</v>
      </c>
      <c r="C679" s="554" t="s">
        <v>6556</v>
      </c>
      <c r="D679" s="113" t="s">
        <v>6557</v>
      </c>
      <c r="E679" s="113">
        <v>13849894861</v>
      </c>
      <c r="F679" s="267">
        <v>1</v>
      </c>
      <c r="G679" s="268">
        <v>1596</v>
      </c>
      <c r="H679" s="274">
        <v>20.92</v>
      </c>
      <c r="I679" s="274" t="s">
        <v>2657</v>
      </c>
      <c r="J679" s="113" t="s">
        <v>6558</v>
      </c>
      <c r="K679" s="116">
        <v>21.06</v>
      </c>
      <c r="L679" s="266" t="s">
        <v>3892</v>
      </c>
      <c r="M679" s="266" t="s">
        <v>4061</v>
      </c>
      <c r="N679" s="113" t="s">
        <v>56</v>
      </c>
      <c r="O679" s="113"/>
      <c r="P679" s="113"/>
      <c r="Q679" s="113">
        <v>46533.71</v>
      </c>
      <c r="R679" s="113">
        <v>973485</v>
      </c>
      <c r="S679" s="121">
        <v>973485</v>
      </c>
      <c r="T679" s="292">
        <f>R679-S679</f>
        <v>0</v>
      </c>
      <c r="U679" s="113"/>
      <c r="V679" s="113">
        <v>1359</v>
      </c>
      <c r="W679" s="113">
        <v>550</v>
      </c>
      <c r="X679" s="113">
        <v>4606</v>
      </c>
      <c r="Y679" s="113" t="s">
        <v>2669</v>
      </c>
      <c r="Z679" s="113" t="s">
        <v>48</v>
      </c>
      <c r="AA679" s="275">
        <v>44098</v>
      </c>
      <c r="AB679" s="113"/>
      <c r="AC679" s="113"/>
      <c r="AD679" s="122"/>
      <c r="AE679" s="133"/>
      <c r="AF679" s="115"/>
      <c r="AG679" s="133"/>
      <c r="AH679" s="133"/>
      <c r="AI679" s="132">
        <f t="shared" si="214"/>
        <v>980000</v>
      </c>
      <c r="AJ679" s="132">
        <f t="shared" si="215"/>
        <v>980000</v>
      </c>
      <c r="AK679" s="133">
        <f t="shared" si="216"/>
        <v>0</v>
      </c>
      <c r="AL679" s="329"/>
      <c r="AM679" s="133" t="s">
        <v>886</v>
      </c>
      <c r="AN679" s="246">
        <v>44846</v>
      </c>
      <c r="AO679" s="100"/>
    </row>
    <row r="680" s="96" customFormat="1" customHeight="1" spans="1:41">
      <c r="A680" s="115" t="s">
        <v>6559</v>
      </c>
      <c r="B680" s="111" t="s">
        <v>6560</v>
      </c>
      <c r="C680" s="554" t="s">
        <v>6561</v>
      </c>
      <c r="D680" s="113" t="s">
        <v>6562</v>
      </c>
      <c r="E680" s="113">
        <v>15538238357</v>
      </c>
      <c r="F680" s="267">
        <v>4</v>
      </c>
      <c r="G680" s="268">
        <v>446</v>
      </c>
      <c r="H680" s="274">
        <v>12.98</v>
      </c>
      <c r="I680" s="274" t="s">
        <v>2657</v>
      </c>
      <c r="J680" s="113" t="s">
        <v>6563</v>
      </c>
      <c r="K680" s="116">
        <v>11.8</v>
      </c>
      <c r="L680" s="266" t="s">
        <v>3408</v>
      </c>
      <c r="M680" s="266" t="s">
        <v>4691</v>
      </c>
      <c r="N680" s="113" t="s">
        <v>66</v>
      </c>
      <c r="O680" s="113"/>
      <c r="P680" s="113"/>
      <c r="Q680" s="113">
        <v>26287.63</v>
      </c>
      <c r="R680" s="113">
        <v>341213</v>
      </c>
      <c r="S680" s="121">
        <v>241213</v>
      </c>
      <c r="T680" s="292"/>
      <c r="U680" s="113">
        <v>100000</v>
      </c>
      <c r="V680" s="113">
        <v>843</v>
      </c>
      <c r="W680" s="113">
        <v>550</v>
      </c>
      <c r="X680" s="113"/>
      <c r="Y680" s="113" t="s">
        <v>2669</v>
      </c>
      <c r="Z680" s="113" t="s">
        <v>48</v>
      </c>
      <c r="AA680" s="275">
        <v>44023</v>
      </c>
      <c r="AB680" s="113" t="s">
        <v>6564</v>
      </c>
      <c r="AC680" s="113"/>
      <c r="AD680" s="122"/>
      <c r="AE680" s="133"/>
      <c r="AF680" s="115"/>
      <c r="AG680" s="133"/>
      <c r="AH680" s="133"/>
      <c r="AI680" s="132">
        <f t="shared" si="214"/>
        <v>342606</v>
      </c>
      <c r="AJ680" s="132">
        <f t="shared" si="215"/>
        <v>342606</v>
      </c>
      <c r="AK680" s="133">
        <f t="shared" si="216"/>
        <v>0</v>
      </c>
      <c r="AL680" s="329"/>
      <c r="AM680" s="133" t="s">
        <v>886</v>
      </c>
      <c r="AN680" s="246">
        <v>44846</v>
      </c>
      <c r="AO680" s="100"/>
    </row>
    <row r="681" s="96" customFormat="1" customHeight="1" spans="1:41">
      <c r="A681" s="115" t="s">
        <v>6565</v>
      </c>
      <c r="B681" s="111" t="s">
        <v>6560</v>
      </c>
      <c r="C681" s="554" t="s">
        <v>6561</v>
      </c>
      <c r="D681" s="113" t="s">
        <v>6562</v>
      </c>
      <c r="E681" s="113">
        <v>15538238357</v>
      </c>
      <c r="F681" s="267">
        <v>4</v>
      </c>
      <c r="G681" s="268">
        <v>451</v>
      </c>
      <c r="H681" s="274">
        <v>19.53</v>
      </c>
      <c r="I681" s="274" t="s">
        <v>2657</v>
      </c>
      <c r="J681" s="113" t="s">
        <v>6566</v>
      </c>
      <c r="K681" s="116">
        <v>15.84</v>
      </c>
      <c r="L681" s="266" t="s">
        <v>3408</v>
      </c>
      <c r="M681" s="266" t="s">
        <v>4691</v>
      </c>
      <c r="N681" s="113" t="s">
        <v>66</v>
      </c>
      <c r="O681" s="113"/>
      <c r="P681" s="113"/>
      <c r="Q681" s="113">
        <v>26034.91</v>
      </c>
      <c r="R681" s="113">
        <v>508462</v>
      </c>
      <c r="S681" s="121">
        <v>288462</v>
      </c>
      <c r="T681" s="292"/>
      <c r="U681" s="113">
        <v>220000</v>
      </c>
      <c r="V681" s="113">
        <v>1269</v>
      </c>
      <c r="W681" s="113">
        <v>550</v>
      </c>
      <c r="X681" s="113"/>
      <c r="Y681" s="113" t="s">
        <v>2669</v>
      </c>
      <c r="Z681" s="113" t="s">
        <v>48</v>
      </c>
      <c r="AA681" s="275">
        <v>44023</v>
      </c>
      <c r="AB681" s="113" t="s">
        <v>6567</v>
      </c>
      <c r="AC681" s="113"/>
      <c r="AD681" s="122"/>
      <c r="AE681" s="133"/>
      <c r="AF681" s="115"/>
      <c r="AG681" s="133"/>
      <c r="AH681" s="133"/>
      <c r="AI681" s="132">
        <f t="shared" si="214"/>
        <v>510281</v>
      </c>
      <c r="AJ681" s="132">
        <f t="shared" si="215"/>
        <v>510281</v>
      </c>
      <c r="AK681" s="133">
        <f t="shared" si="216"/>
        <v>0</v>
      </c>
      <c r="AL681" s="329"/>
      <c r="AM681" s="133" t="s">
        <v>886</v>
      </c>
      <c r="AN681" s="246">
        <v>44846</v>
      </c>
      <c r="AO681" s="100"/>
    </row>
    <row r="682" s="96" customFormat="1" customHeight="1" spans="1:41">
      <c r="A682" s="115" t="s">
        <v>6568</v>
      </c>
      <c r="B682" s="111" t="s">
        <v>6569</v>
      </c>
      <c r="C682" s="111" t="s">
        <v>6570</v>
      </c>
      <c r="D682" s="121" t="s">
        <v>6571</v>
      </c>
      <c r="E682" s="113">
        <v>18638617865</v>
      </c>
      <c r="F682" s="267">
        <v>3</v>
      </c>
      <c r="G682" s="268">
        <v>3410</v>
      </c>
      <c r="H682" s="274">
        <v>13.39</v>
      </c>
      <c r="I682" s="274" t="s">
        <v>2657</v>
      </c>
      <c r="J682" s="113" t="s">
        <v>6572</v>
      </c>
      <c r="K682" s="113">
        <v>13.55</v>
      </c>
      <c r="L682" s="266" t="s">
        <v>3664</v>
      </c>
      <c r="M682" s="266" t="s">
        <v>2718</v>
      </c>
      <c r="N682" s="113" t="s">
        <v>66</v>
      </c>
      <c r="O682" s="113"/>
      <c r="P682" s="113"/>
      <c r="Q682" s="113">
        <v>32519.63</v>
      </c>
      <c r="R682" s="113">
        <v>440641</v>
      </c>
      <c r="S682" s="121">
        <v>220641</v>
      </c>
      <c r="T682" s="292">
        <f t="shared" ref="T682:T700" si="217">R682-S682</f>
        <v>220000</v>
      </c>
      <c r="U682" s="113"/>
      <c r="V682" s="113"/>
      <c r="W682" s="113"/>
      <c r="X682" s="113"/>
      <c r="Y682" s="113"/>
      <c r="Z682" s="113"/>
      <c r="AA682" s="113"/>
      <c r="AB682" s="113"/>
      <c r="AC682" s="246"/>
      <c r="AD682" s="115"/>
      <c r="AE682" s="115"/>
      <c r="AF682" s="115"/>
      <c r="AG682" s="115"/>
      <c r="AH682" s="115"/>
      <c r="AI682" s="132">
        <f t="shared" si="214"/>
        <v>220641</v>
      </c>
      <c r="AJ682" s="132">
        <f t="shared" si="215"/>
        <v>220641</v>
      </c>
      <c r="AK682" s="133">
        <f t="shared" si="216"/>
        <v>0</v>
      </c>
      <c r="AL682" s="332"/>
      <c r="AM682" s="115" t="s">
        <v>974</v>
      </c>
      <c r="AN682" s="246">
        <v>44846</v>
      </c>
      <c r="AO682" s="100"/>
    </row>
    <row r="683" s="96" customFormat="1" customHeight="1" spans="1:41">
      <c r="A683" s="115" t="s">
        <v>6573</v>
      </c>
      <c r="B683" s="111" t="s">
        <v>6574</v>
      </c>
      <c r="C683" s="111" t="s">
        <v>6575</v>
      </c>
      <c r="D683" s="121" t="s">
        <v>6576</v>
      </c>
      <c r="E683" s="113">
        <v>18317869328</v>
      </c>
      <c r="F683" s="267">
        <v>3</v>
      </c>
      <c r="G683" s="268">
        <v>3393</v>
      </c>
      <c r="H683" s="274">
        <v>15.4</v>
      </c>
      <c r="I683" s="274" t="s">
        <v>2657</v>
      </c>
      <c r="J683" s="113" t="s">
        <v>6577</v>
      </c>
      <c r="K683" s="113">
        <v>11.37</v>
      </c>
      <c r="L683" s="266" t="s">
        <v>4105</v>
      </c>
      <c r="M683" s="266" t="s">
        <v>3892</v>
      </c>
      <c r="N683" s="113" t="s">
        <v>66</v>
      </c>
      <c r="O683" s="113"/>
      <c r="P683" s="113"/>
      <c r="Q683" s="113">
        <v>32304.31</v>
      </c>
      <c r="R683" s="113">
        <v>367300</v>
      </c>
      <c r="S683" s="121">
        <v>187300</v>
      </c>
      <c r="T683" s="292">
        <f t="shared" si="217"/>
        <v>180000</v>
      </c>
      <c r="U683" s="113"/>
      <c r="V683" s="113"/>
      <c r="W683" s="113"/>
      <c r="X683" s="113"/>
      <c r="Y683" s="113"/>
      <c r="Z683" s="113"/>
      <c r="AA683" s="113"/>
      <c r="AB683" s="113"/>
      <c r="AC683" s="246"/>
      <c r="AD683" s="115"/>
      <c r="AE683" s="115"/>
      <c r="AF683" s="115"/>
      <c r="AG683" s="115"/>
      <c r="AH683" s="115"/>
      <c r="AI683" s="132">
        <f t="shared" si="214"/>
        <v>187300</v>
      </c>
      <c r="AJ683" s="132">
        <f t="shared" si="215"/>
        <v>187300</v>
      </c>
      <c r="AK683" s="133">
        <f t="shared" si="216"/>
        <v>0</v>
      </c>
      <c r="AL683" s="332"/>
      <c r="AM683" s="115" t="s">
        <v>974</v>
      </c>
      <c r="AN683" s="246">
        <v>44846</v>
      </c>
      <c r="AO683" s="100"/>
    </row>
    <row r="684" s="96" customFormat="1" customHeight="1" spans="1:41">
      <c r="A684" s="115" t="s">
        <v>6578</v>
      </c>
      <c r="B684" s="111" t="s">
        <v>6579</v>
      </c>
      <c r="C684" s="554" t="s">
        <v>6580</v>
      </c>
      <c r="D684" s="113" t="s">
        <v>6581</v>
      </c>
      <c r="E684" s="113">
        <v>13592578781</v>
      </c>
      <c r="F684" s="267">
        <v>1</v>
      </c>
      <c r="G684" s="268">
        <v>1801</v>
      </c>
      <c r="H684" s="274">
        <v>10.98</v>
      </c>
      <c r="I684" s="274" t="s">
        <v>2657</v>
      </c>
      <c r="J684" s="113" t="s">
        <v>6582</v>
      </c>
      <c r="K684" s="113">
        <v>10.65</v>
      </c>
      <c r="L684" s="266" t="s">
        <v>3497</v>
      </c>
      <c r="M684" s="266" t="s">
        <v>3550</v>
      </c>
      <c r="N684" s="113" t="s">
        <v>66</v>
      </c>
      <c r="O684" s="113"/>
      <c r="P684" s="113"/>
      <c r="Q684" s="113">
        <v>49439.06</v>
      </c>
      <c r="R684" s="113">
        <v>526526</v>
      </c>
      <c r="S684" s="121">
        <v>266526</v>
      </c>
      <c r="T684" s="292">
        <f t="shared" si="217"/>
        <v>260000</v>
      </c>
      <c r="U684" s="113"/>
      <c r="V684" s="113"/>
      <c r="W684" s="113"/>
      <c r="X684" s="113">
        <v>20000</v>
      </c>
      <c r="Y684" s="113"/>
      <c r="Z684" s="113"/>
      <c r="AA684" s="113"/>
      <c r="AB684" s="113"/>
      <c r="AC684" s="327">
        <f>50000+6314+692+550+21600+8000+200000</f>
        <v>287156</v>
      </c>
      <c r="AD684" s="115"/>
      <c r="AE684" s="115"/>
      <c r="AF684" s="115"/>
      <c r="AG684" s="115"/>
      <c r="AH684" s="115"/>
      <c r="AI684" s="132">
        <f t="shared" si="214"/>
        <v>573682</v>
      </c>
      <c r="AJ684" s="132">
        <f t="shared" si="215"/>
        <v>286526</v>
      </c>
      <c r="AK684" s="133">
        <f t="shared" si="216"/>
        <v>287156</v>
      </c>
      <c r="AL684" s="333" t="s">
        <v>6583</v>
      </c>
      <c r="AM684" s="115" t="s">
        <v>974</v>
      </c>
      <c r="AN684" s="246">
        <v>44846</v>
      </c>
      <c r="AO684" s="100"/>
    </row>
    <row r="685" s="96" customFormat="1" customHeight="1" spans="1:41">
      <c r="A685" s="115" t="s">
        <v>6584</v>
      </c>
      <c r="B685" s="296" t="s">
        <v>6585</v>
      </c>
      <c r="C685" s="556" t="s">
        <v>6586</v>
      </c>
      <c r="D685" s="267" t="s">
        <v>6587</v>
      </c>
      <c r="E685" s="267">
        <v>15981821531</v>
      </c>
      <c r="F685" s="267">
        <v>4</v>
      </c>
      <c r="G685" s="268">
        <v>4117</v>
      </c>
      <c r="H685" s="274">
        <v>18.87</v>
      </c>
      <c r="I685" s="274" t="s">
        <v>2665</v>
      </c>
      <c r="J685" s="267" t="s">
        <v>6588</v>
      </c>
      <c r="K685" s="326">
        <v>27.2</v>
      </c>
      <c r="L685" s="268" t="s">
        <v>2711</v>
      </c>
      <c r="M685" s="268" t="s">
        <v>3772</v>
      </c>
      <c r="N685" s="113" t="s">
        <v>56</v>
      </c>
      <c r="O685" s="113"/>
      <c r="P685" s="113"/>
      <c r="Q685" s="274">
        <v>20594.33</v>
      </c>
      <c r="R685" s="267">
        <v>388615</v>
      </c>
      <c r="S685" s="292">
        <v>388615</v>
      </c>
      <c r="T685" s="292">
        <f t="shared" si="217"/>
        <v>0</v>
      </c>
      <c r="U685" s="267"/>
      <c r="V685" s="267">
        <v>1226</v>
      </c>
      <c r="W685" s="267">
        <v>550</v>
      </c>
      <c r="X685" s="267">
        <v>9775</v>
      </c>
      <c r="Y685" s="267" t="s">
        <v>2669</v>
      </c>
      <c r="Z685" s="113" t="s">
        <v>48</v>
      </c>
      <c r="AA685" s="304">
        <v>44051</v>
      </c>
      <c r="AB685" s="267"/>
      <c r="AC685" s="327"/>
      <c r="AD685" s="115"/>
      <c r="AE685" s="115"/>
      <c r="AF685" s="115"/>
      <c r="AG685" s="115"/>
      <c r="AH685" s="115"/>
      <c r="AI685" s="132">
        <f t="shared" si="214"/>
        <v>400166</v>
      </c>
      <c r="AJ685" s="132">
        <f t="shared" si="215"/>
        <v>400166</v>
      </c>
      <c r="AK685" s="133">
        <f t="shared" si="216"/>
        <v>0</v>
      </c>
      <c r="AL685" s="334"/>
      <c r="AM685" s="115" t="s">
        <v>974</v>
      </c>
      <c r="AN685" s="246">
        <v>44846</v>
      </c>
      <c r="AO685" s="100"/>
    </row>
    <row r="686" s="96" customFormat="1" customHeight="1" spans="1:41">
      <c r="A686" s="115" t="s">
        <v>6589</v>
      </c>
      <c r="B686" s="111" t="s">
        <v>6590</v>
      </c>
      <c r="C686" s="111" t="s">
        <v>6591</v>
      </c>
      <c r="D686" s="121" t="s">
        <v>6592</v>
      </c>
      <c r="E686" s="113">
        <v>18336329543</v>
      </c>
      <c r="F686" s="267">
        <v>3</v>
      </c>
      <c r="G686" s="268">
        <v>3770</v>
      </c>
      <c r="H686" s="274">
        <v>15.14</v>
      </c>
      <c r="I686" s="274" t="s">
        <v>2657</v>
      </c>
      <c r="J686" s="113" t="s">
        <v>6593</v>
      </c>
      <c r="K686" s="113">
        <v>15.76</v>
      </c>
      <c r="L686" s="266" t="s">
        <v>4587</v>
      </c>
      <c r="M686" s="266" t="s">
        <v>3009</v>
      </c>
      <c r="N686" s="113" t="s">
        <v>66</v>
      </c>
      <c r="O686" s="113"/>
      <c r="P686" s="113"/>
      <c r="Q686" s="113">
        <v>31823.22</v>
      </c>
      <c r="R686" s="113">
        <v>501534</v>
      </c>
      <c r="S686" s="121">
        <v>251534</v>
      </c>
      <c r="T686" s="292">
        <f t="shared" si="217"/>
        <v>250000</v>
      </c>
      <c r="U686" s="113"/>
      <c r="V686" s="113"/>
      <c r="W686" s="113"/>
      <c r="X686" s="113"/>
      <c r="Y686" s="113"/>
      <c r="Z686" s="113"/>
      <c r="AA686" s="113"/>
      <c r="AB686" s="113"/>
      <c r="AC686" s="327"/>
      <c r="AD686" s="115"/>
      <c r="AE686" s="115"/>
      <c r="AF686" s="115"/>
      <c r="AG686" s="115"/>
      <c r="AH686" s="115"/>
      <c r="AI686" s="132">
        <f t="shared" si="214"/>
        <v>251534</v>
      </c>
      <c r="AJ686" s="132">
        <f t="shared" si="215"/>
        <v>251534</v>
      </c>
      <c r="AK686" s="133">
        <f t="shared" si="216"/>
        <v>0</v>
      </c>
      <c r="AL686" s="334"/>
      <c r="AM686" s="115" t="s">
        <v>974</v>
      </c>
      <c r="AN686" s="246">
        <v>44846</v>
      </c>
      <c r="AO686" s="100"/>
    </row>
    <row r="687" s="96" customFormat="1" customHeight="1" spans="1:41">
      <c r="A687" s="115" t="s">
        <v>6594</v>
      </c>
      <c r="B687" s="111" t="s">
        <v>6595</v>
      </c>
      <c r="C687" s="554" t="s">
        <v>6596</v>
      </c>
      <c r="D687" s="113" t="s">
        <v>6597</v>
      </c>
      <c r="E687" s="113">
        <v>13938582168</v>
      </c>
      <c r="F687" s="267">
        <v>1</v>
      </c>
      <c r="G687" s="268">
        <v>1101</v>
      </c>
      <c r="H687" s="274">
        <v>23.57</v>
      </c>
      <c r="I687" s="274" t="s">
        <v>2657</v>
      </c>
      <c r="J687" s="113" t="s">
        <v>6598</v>
      </c>
      <c r="K687" s="116">
        <v>22.44</v>
      </c>
      <c r="L687" s="266" t="s">
        <v>2807</v>
      </c>
      <c r="M687" s="266" t="s">
        <v>6599</v>
      </c>
      <c r="N687" s="113" t="s">
        <v>56</v>
      </c>
      <c r="O687" s="113"/>
      <c r="P687" s="113"/>
      <c r="Q687" s="113">
        <v>45834.89</v>
      </c>
      <c r="R687" s="113">
        <v>1080328</v>
      </c>
      <c r="S687" s="121">
        <v>1080328</v>
      </c>
      <c r="T687" s="292">
        <f t="shared" si="217"/>
        <v>0</v>
      </c>
      <c r="U687" s="113"/>
      <c r="V687" s="113">
        <v>1532</v>
      </c>
      <c r="W687" s="113">
        <v>550</v>
      </c>
      <c r="X687" s="113"/>
      <c r="Y687" s="113" t="s">
        <v>2669</v>
      </c>
      <c r="Z687" s="113"/>
      <c r="AA687" s="113"/>
      <c r="AB687" s="267"/>
      <c r="AC687" s="246"/>
      <c r="AD687" s="115"/>
      <c r="AE687" s="115"/>
      <c r="AF687" s="115"/>
      <c r="AG687" s="115"/>
      <c r="AH687" s="115"/>
      <c r="AI687" s="132">
        <f t="shared" si="214"/>
        <v>1082410</v>
      </c>
      <c r="AJ687" s="132">
        <f t="shared" si="215"/>
        <v>1082410</v>
      </c>
      <c r="AK687" s="133">
        <f t="shared" si="216"/>
        <v>0</v>
      </c>
      <c r="AL687" s="332"/>
      <c r="AM687" s="115" t="s">
        <v>974</v>
      </c>
      <c r="AN687" s="246">
        <v>44846</v>
      </c>
      <c r="AO687" s="100"/>
    </row>
    <row r="688" s="96" customFormat="1" customHeight="1" spans="1:41">
      <c r="A688" s="115" t="s">
        <v>6600</v>
      </c>
      <c r="B688" s="111" t="s">
        <v>6595</v>
      </c>
      <c r="C688" s="554" t="s">
        <v>6596</v>
      </c>
      <c r="D688" s="113" t="s">
        <v>6597</v>
      </c>
      <c r="E688" s="113">
        <v>13938582168</v>
      </c>
      <c r="F688" s="267">
        <v>1</v>
      </c>
      <c r="G688" s="268">
        <v>1151</v>
      </c>
      <c r="H688" s="274">
        <v>17.86</v>
      </c>
      <c r="I688" s="274" t="s">
        <v>2657</v>
      </c>
      <c r="J688" s="113" t="s">
        <v>6601</v>
      </c>
      <c r="K688" s="116">
        <v>16.69</v>
      </c>
      <c r="L688" s="266" t="s">
        <v>3355</v>
      </c>
      <c r="M688" s="266" t="s">
        <v>6599</v>
      </c>
      <c r="N688" s="113" t="s">
        <v>56</v>
      </c>
      <c r="O688" s="113"/>
      <c r="P688" s="113"/>
      <c r="Q688" s="113">
        <v>45834.87</v>
      </c>
      <c r="R688" s="113">
        <v>818611</v>
      </c>
      <c r="S688" s="121">
        <v>818611</v>
      </c>
      <c r="T688" s="292">
        <f t="shared" si="217"/>
        <v>0</v>
      </c>
      <c r="U688" s="113"/>
      <c r="V688" s="113">
        <v>1160</v>
      </c>
      <c r="W688" s="113">
        <v>550</v>
      </c>
      <c r="X688" s="113"/>
      <c r="Y688" s="113" t="s">
        <v>2669</v>
      </c>
      <c r="Z688" s="113"/>
      <c r="AA688" s="113"/>
      <c r="AB688" s="267"/>
      <c r="AC688" s="246"/>
      <c r="AD688" s="115"/>
      <c r="AE688" s="115"/>
      <c r="AF688" s="115"/>
      <c r="AG688" s="115"/>
      <c r="AH688" s="115"/>
      <c r="AI688" s="132">
        <f t="shared" ref="AI688:AI701" si="218">S688+U688+V688+W688+X688+AC688+AD688+AE688</f>
        <v>820321</v>
      </c>
      <c r="AJ688" s="132">
        <f t="shared" ref="AJ688:AJ701" si="219">S688+U688+V688+W688+X688</f>
        <v>820321</v>
      </c>
      <c r="AK688" s="133">
        <f t="shared" ref="AK688:AK701" si="220">AI688-AJ688</f>
        <v>0</v>
      </c>
      <c r="AL688" s="332"/>
      <c r="AM688" s="115" t="s">
        <v>974</v>
      </c>
      <c r="AN688" s="246">
        <v>44846</v>
      </c>
      <c r="AO688" s="100"/>
    </row>
    <row r="689" s="96" customFormat="1" customHeight="1" spans="1:41">
      <c r="A689" s="115" t="s">
        <v>6602</v>
      </c>
      <c r="B689" s="111" t="s">
        <v>6603</v>
      </c>
      <c r="C689" s="111" t="s">
        <v>6604</v>
      </c>
      <c r="D689" s="113" t="s">
        <v>6605</v>
      </c>
      <c r="E689" s="113" t="s">
        <v>6606</v>
      </c>
      <c r="F689" s="267">
        <v>1</v>
      </c>
      <c r="G689" s="268">
        <v>1111</v>
      </c>
      <c r="H689" s="274">
        <v>25.04</v>
      </c>
      <c r="I689" s="274" t="s">
        <v>2665</v>
      </c>
      <c r="J689" s="113" t="s">
        <v>6607</v>
      </c>
      <c r="K689" s="116">
        <v>26.6</v>
      </c>
      <c r="L689" s="266" t="s">
        <v>2913</v>
      </c>
      <c r="M689" s="266" t="s">
        <v>3772</v>
      </c>
      <c r="N689" s="113" t="s">
        <v>56</v>
      </c>
      <c r="O689" s="113"/>
      <c r="P689" s="113"/>
      <c r="Q689" s="113">
        <v>50074.47</v>
      </c>
      <c r="R689" s="113">
        <v>1253865</v>
      </c>
      <c r="S689" s="121">
        <v>1253865</v>
      </c>
      <c r="T689" s="292">
        <f t="shared" si="217"/>
        <v>0</v>
      </c>
      <c r="U689" s="113"/>
      <c r="V689" s="113">
        <v>1627</v>
      </c>
      <c r="W689" s="113">
        <v>560</v>
      </c>
      <c r="X689" s="113">
        <v>75929</v>
      </c>
      <c r="Y689" s="113" t="s">
        <v>2669</v>
      </c>
      <c r="Z689" s="113"/>
      <c r="AA689" s="275"/>
      <c r="AB689" s="113"/>
      <c r="AC689" s="113"/>
      <c r="AD689" s="122"/>
      <c r="AE689" s="133"/>
      <c r="AF689" s="115"/>
      <c r="AG689" s="133"/>
      <c r="AH689" s="133"/>
      <c r="AI689" s="132">
        <f t="shared" si="218"/>
        <v>1331981</v>
      </c>
      <c r="AJ689" s="132">
        <f t="shared" si="219"/>
        <v>1331981</v>
      </c>
      <c r="AK689" s="133">
        <f t="shared" si="220"/>
        <v>0</v>
      </c>
      <c r="AL689" s="198"/>
      <c r="AM689" s="133" t="s">
        <v>886</v>
      </c>
      <c r="AN689" s="246">
        <v>44846</v>
      </c>
      <c r="AO689" s="100"/>
    </row>
    <row r="690" s="96" customFormat="1" customHeight="1" spans="1:41">
      <c r="A690" s="115" t="s">
        <v>6608</v>
      </c>
      <c r="B690" s="111" t="s">
        <v>6609</v>
      </c>
      <c r="C690" s="554" t="s">
        <v>6610</v>
      </c>
      <c r="D690" s="113" t="s">
        <v>6611</v>
      </c>
      <c r="E690" s="113">
        <v>13526664939</v>
      </c>
      <c r="F690" s="267">
        <v>1</v>
      </c>
      <c r="G690" s="268">
        <v>1667</v>
      </c>
      <c r="H690" s="274">
        <v>10.42</v>
      </c>
      <c r="I690" s="274" t="s">
        <v>2657</v>
      </c>
      <c r="J690" s="113" t="s">
        <v>6612</v>
      </c>
      <c r="K690" s="113">
        <v>10.62</v>
      </c>
      <c r="L690" s="266" t="s">
        <v>3614</v>
      </c>
      <c r="M690" s="266" t="s">
        <v>6613</v>
      </c>
      <c r="N690" s="113" t="s">
        <v>66</v>
      </c>
      <c r="O690" s="113"/>
      <c r="P690" s="113"/>
      <c r="Q690" s="113">
        <v>48462.05</v>
      </c>
      <c r="R690" s="113">
        <v>514667</v>
      </c>
      <c r="S690" s="121">
        <v>264667</v>
      </c>
      <c r="T690" s="292">
        <f t="shared" si="217"/>
        <v>250000</v>
      </c>
      <c r="U690" s="113"/>
      <c r="V690" s="113"/>
      <c r="W690" s="113"/>
      <c r="X690" s="113"/>
      <c r="Y690" s="113"/>
      <c r="Z690" s="113"/>
      <c r="AA690" s="113"/>
      <c r="AB690" s="113"/>
      <c r="AC690" s="246"/>
      <c r="AD690" s="297"/>
      <c r="AE690" s="297"/>
      <c r="AF690" s="297"/>
      <c r="AG690" s="297"/>
      <c r="AH690" s="297"/>
      <c r="AI690" s="132">
        <f t="shared" si="218"/>
        <v>264667</v>
      </c>
      <c r="AJ690" s="132">
        <f t="shared" si="219"/>
        <v>264667</v>
      </c>
      <c r="AK690" s="133">
        <f t="shared" si="220"/>
        <v>0</v>
      </c>
      <c r="AL690" s="297"/>
      <c r="AM690" s="297" t="s">
        <v>974</v>
      </c>
      <c r="AN690" s="246">
        <v>44846</v>
      </c>
      <c r="AO690" s="100"/>
    </row>
    <row r="691" s="96" customFormat="1" customHeight="1" spans="1:41">
      <c r="A691" s="115" t="s">
        <v>6614</v>
      </c>
      <c r="B691" s="111" t="s">
        <v>6615</v>
      </c>
      <c r="C691" s="554" t="s">
        <v>6616</v>
      </c>
      <c r="D691" s="113" t="s">
        <v>6617</v>
      </c>
      <c r="E691" s="113">
        <v>15038502888</v>
      </c>
      <c r="F691" s="267">
        <v>4</v>
      </c>
      <c r="G691" s="268">
        <v>4328</v>
      </c>
      <c r="H691" s="274">
        <v>57.17</v>
      </c>
      <c r="I691" s="274" t="s">
        <v>2657</v>
      </c>
      <c r="J691" s="113" t="s">
        <v>6618</v>
      </c>
      <c r="K691" s="116">
        <v>49.7</v>
      </c>
      <c r="L691" s="266" t="s">
        <v>3550</v>
      </c>
      <c r="M691" s="266" t="s">
        <v>6619</v>
      </c>
      <c r="N691" s="113" t="s">
        <v>66</v>
      </c>
      <c r="O691" s="113"/>
      <c r="P691" s="113"/>
      <c r="Q691" s="113">
        <v>25000</v>
      </c>
      <c r="R691" s="113">
        <v>1429250</v>
      </c>
      <c r="S691" s="121">
        <v>719250</v>
      </c>
      <c r="T691" s="292">
        <f t="shared" si="217"/>
        <v>710000</v>
      </c>
      <c r="U691" s="113"/>
      <c r="V691" s="113">
        <v>3716</v>
      </c>
      <c r="W691" s="113">
        <v>550</v>
      </c>
      <c r="X691" s="113"/>
      <c r="Y691" s="113"/>
      <c r="Z691" s="113"/>
      <c r="AA691" s="275"/>
      <c r="AB691" s="113"/>
      <c r="AC691" s="113"/>
      <c r="AD691" s="328"/>
      <c r="AE691" s="308"/>
      <c r="AF691" s="297"/>
      <c r="AG691" s="308"/>
      <c r="AH691" s="308"/>
      <c r="AI691" s="132">
        <f t="shared" si="218"/>
        <v>723516</v>
      </c>
      <c r="AJ691" s="132">
        <f t="shared" si="219"/>
        <v>723516</v>
      </c>
      <c r="AK691" s="133">
        <f t="shared" si="220"/>
        <v>0</v>
      </c>
      <c r="AL691" s="335"/>
      <c r="AM691" s="308" t="s">
        <v>886</v>
      </c>
      <c r="AN691" s="246">
        <v>44846</v>
      </c>
      <c r="AO691" s="100"/>
    </row>
    <row r="692" s="96" customFormat="1" customHeight="1" spans="1:41">
      <c r="A692" s="115" t="s">
        <v>6620</v>
      </c>
      <c r="B692" s="111" t="s">
        <v>6621</v>
      </c>
      <c r="C692" s="554" t="s">
        <v>6622</v>
      </c>
      <c r="D692" s="113" t="s">
        <v>6623</v>
      </c>
      <c r="E692" s="113">
        <v>15188351022</v>
      </c>
      <c r="F692" s="267">
        <v>4</v>
      </c>
      <c r="G692" s="268">
        <v>4155</v>
      </c>
      <c r="H692" s="274">
        <v>40.56</v>
      </c>
      <c r="I692" s="274" t="s">
        <v>2657</v>
      </c>
      <c r="J692" s="113" t="s">
        <v>6624</v>
      </c>
      <c r="K692" s="116">
        <v>42.4</v>
      </c>
      <c r="L692" s="266" t="s">
        <v>2785</v>
      </c>
      <c r="M692" s="266" t="s">
        <v>2928</v>
      </c>
      <c r="N692" s="113" t="s">
        <v>66</v>
      </c>
      <c r="O692" s="113"/>
      <c r="P692" s="113"/>
      <c r="Q692" s="113">
        <v>25825.47</v>
      </c>
      <c r="R692" s="113">
        <v>1047481</v>
      </c>
      <c r="S692" s="121">
        <v>557481</v>
      </c>
      <c r="T692" s="292">
        <f t="shared" si="217"/>
        <v>490000</v>
      </c>
      <c r="U692" s="113"/>
      <c r="V692" s="113">
        <v>2636</v>
      </c>
      <c r="W692" s="113">
        <v>550</v>
      </c>
      <c r="X692" s="113"/>
      <c r="Y692" s="113" t="s">
        <v>2669</v>
      </c>
      <c r="Z692" s="113"/>
      <c r="AA692" s="275"/>
      <c r="AB692" s="113"/>
      <c r="AC692" s="113"/>
      <c r="AD692" s="328"/>
      <c r="AE692" s="308"/>
      <c r="AF692" s="297"/>
      <c r="AG692" s="308"/>
      <c r="AH692" s="308"/>
      <c r="AI692" s="132">
        <f t="shared" si="218"/>
        <v>560667</v>
      </c>
      <c r="AJ692" s="132">
        <f t="shared" si="219"/>
        <v>560667</v>
      </c>
      <c r="AK692" s="133">
        <f t="shared" si="220"/>
        <v>0</v>
      </c>
      <c r="AL692" s="335"/>
      <c r="AM692" s="308" t="s">
        <v>886</v>
      </c>
      <c r="AN692" s="246">
        <v>44846</v>
      </c>
      <c r="AO692" s="100"/>
    </row>
    <row r="693" s="96" customFormat="1" customHeight="1" spans="1:41">
      <c r="A693" s="115" t="s">
        <v>6625</v>
      </c>
      <c r="B693" s="111" t="s">
        <v>6626</v>
      </c>
      <c r="C693" s="554" t="s">
        <v>6627</v>
      </c>
      <c r="D693" s="113" t="s">
        <v>6628</v>
      </c>
      <c r="E693" s="113">
        <v>13938461116</v>
      </c>
      <c r="F693" s="267">
        <v>4</v>
      </c>
      <c r="G693" s="268">
        <v>4195</v>
      </c>
      <c r="H693" s="274">
        <v>9</v>
      </c>
      <c r="I693" s="274" t="s">
        <v>2657</v>
      </c>
      <c r="J693" s="113" t="s">
        <v>6629</v>
      </c>
      <c r="K693" s="113">
        <v>9.13</v>
      </c>
      <c r="L693" s="266" t="s">
        <v>2691</v>
      </c>
      <c r="M693" s="266" t="s">
        <v>2891</v>
      </c>
      <c r="N693" s="113" t="s">
        <v>56</v>
      </c>
      <c r="O693" s="113"/>
      <c r="P693" s="113"/>
      <c r="Q693" s="113">
        <v>27044.03</v>
      </c>
      <c r="R693" s="113">
        <v>243396</v>
      </c>
      <c r="S693" s="121">
        <v>243396</v>
      </c>
      <c r="T693" s="292">
        <f t="shared" si="217"/>
        <v>0</v>
      </c>
      <c r="U693" s="113"/>
      <c r="V693" s="113">
        <v>585</v>
      </c>
      <c r="W693" s="113">
        <v>550</v>
      </c>
      <c r="X693" s="113">
        <v>2381</v>
      </c>
      <c r="Y693" s="113" t="s">
        <v>2669</v>
      </c>
      <c r="Z693" s="267" t="s">
        <v>48</v>
      </c>
      <c r="AA693" s="304">
        <v>44053</v>
      </c>
      <c r="AB693" s="113"/>
      <c r="AC693" s="246"/>
      <c r="AD693" s="297"/>
      <c r="AE693" s="297"/>
      <c r="AF693" s="297"/>
      <c r="AG693" s="297"/>
      <c r="AH693" s="297"/>
      <c r="AI693" s="132">
        <f t="shared" si="218"/>
        <v>246912</v>
      </c>
      <c r="AJ693" s="132">
        <f t="shared" si="219"/>
        <v>246912</v>
      </c>
      <c r="AK693" s="133">
        <f t="shared" si="220"/>
        <v>0</v>
      </c>
      <c r="AL693" s="297"/>
      <c r="AM693" s="297" t="s">
        <v>974</v>
      </c>
      <c r="AN693" s="246">
        <v>44846</v>
      </c>
      <c r="AO693" s="100"/>
    </row>
    <row r="694" s="96" customFormat="1" customHeight="1" spans="1:41">
      <c r="A694" s="115" t="s">
        <v>6630</v>
      </c>
      <c r="B694" s="111" t="s">
        <v>6631</v>
      </c>
      <c r="C694" s="554" t="s">
        <v>6632</v>
      </c>
      <c r="D694" s="113" t="s">
        <v>6633</v>
      </c>
      <c r="E694" s="113">
        <v>15038116685</v>
      </c>
      <c r="F694" s="267">
        <v>4</v>
      </c>
      <c r="G694" s="268">
        <v>4112</v>
      </c>
      <c r="H694" s="274">
        <v>20.36</v>
      </c>
      <c r="I694" s="274" t="s">
        <v>2657</v>
      </c>
      <c r="J694" s="113" t="s">
        <v>6634</v>
      </c>
      <c r="K694" s="116">
        <v>14.14</v>
      </c>
      <c r="L694" s="266" t="s">
        <v>4484</v>
      </c>
      <c r="M694" s="266" t="s">
        <v>4112</v>
      </c>
      <c r="N694" s="113" t="s">
        <v>56</v>
      </c>
      <c r="O694" s="113"/>
      <c r="P694" s="113"/>
      <c r="Q694" s="113">
        <v>25758.56</v>
      </c>
      <c r="R694" s="113">
        <v>364226</v>
      </c>
      <c r="S694" s="121">
        <v>364226</v>
      </c>
      <c r="T694" s="292">
        <f t="shared" si="217"/>
        <v>0</v>
      </c>
      <c r="U694" s="113"/>
      <c r="V694" s="113"/>
      <c r="W694" s="113"/>
      <c r="X694" s="113"/>
      <c r="Y694" s="113"/>
      <c r="Z694" s="113"/>
      <c r="AA694" s="275"/>
      <c r="AB694" s="113"/>
      <c r="AC694" s="312"/>
      <c r="AD694" s="328"/>
      <c r="AE694" s="308"/>
      <c r="AF694" s="297"/>
      <c r="AG694" s="308"/>
      <c r="AH694" s="308"/>
      <c r="AI694" s="132">
        <f t="shared" si="218"/>
        <v>364226</v>
      </c>
      <c r="AJ694" s="132">
        <f t="shared" si="219"/>
        <v>364226</v>
      </c>
      <c r="AK694" s="133">
        <f t="shared" si="220"/>
        <v>0</v>
      </c>
      <c r="AL694" s="335"/>
      <c r="AM694" s="308" t="s">
        <v>886</v>
      </c>
      <c r="AN694" s="246">
        <v>44846</v>
      </c>
      <c r="AO694" s="100"/>
    </row>
    <row r="695" s="96" customFormat="1" customHeight="1" spans="1:41">
      <c r="A695" s="115" t="s">
        <v>6635</v>
      </c>
      <c r="B695" s="111" t="s">
        <v>6631</v>
      </c>
      <c r="C695" s="554" t="s">
        <v>6632</v>
      </c>
      <c r="D695" s="113" t="s">
        <v>6633</v>
      </c>
      <c r="E695" s="113">
        <v>15038116685</v>
      </c>
      <c r="F695" s="267">
        <v>4</v>
      </c>
      <c r="G695" s="268">
        <v>4113</v>
      </c>
      <c r="H695" s="274">
        <v>17.15</v>
      </c>
      <c r="I695" s="274" t="s">
        <v>2657</v>
      </c>
      <c r="J695" s="113" t="s">
        <v>6636</v>
      </c>
      <c r="K695" s="116">
        <v>14.5</v>
      </c>
      <c r="L695" s="266" t="s">
        <v>4484</v>
      </c>
      <c r="M695" s="266" t="s">
        <v>4112</v>
      </c>
      <c r="N695" s="113" t="s">
        <v>56</v>
      </c>
      <c r="O695" s="113"/>
      <c r="P695" s="113"/>
      <c r="Q695" s="113">
        <v>25758.55</v>
      </c>
      <c r="R695" s="113">
        <v>373499</v>
      </c>
      <c r="S695" s="121">
        <v>373499</v>
      </c>
      <c r="T695" s="292">
        <f t="shared" si="217"/>
        <v>0</v>
      </c>
      <c r="U695" s="113"/>
      <c r="V695" s="113"/>
      <c r="W695" s="113"/>
      <c r="X695" s="113"/>
      <c r="Y695" s="113"/>
      <c r="Z695" s="113"/>
      <c r="AA695" s="275"/>
      <c r="AB695" s="113"/>
      <c r="AC695" s="113"/>
      <c r="AD695" s="122"/>
      <c r="AE695" s="133"/>
      <c r="AF695" s="115"/>
      <c r="AG695" s="133"/>
      <c r="AH695" s="133"/>
      <c r="AI695" s="132">
        <f t="shared" si="218"/>
        <v>373499</v>
      </c>
      <c r="AJ695" s="132">
        <f t="shared" si="219"/>
        <v>373499</v>
      </c>
      <c r="AK695" s="133">
        <f t="shared" si="220"/>
        <v>0</v>
      </c>
      <c r="AL695" s="198"/>
      <c r="AM695" s="133" t="s">
        <v>886</v>
      </c>
      <c r="AN695" s="246">
        <v>44846</v>
      </c>
      <c r="AO695" s="100"/>
    </row>
    <row r="696" s="96" customFormat="1" customHeight="1" spans="1:41">
      <c r="A696" s="115" t="s">
        <v>6637</v>
      </c>
      <c r="B696" s="111" t="s">
        <v>6638</v>
      </c>
      <c r="C696" s="111" t="s">
        <v>6639</v>
      </c>
      <c r="D696" s="121" t="s">
        <v>6640</v>
      </c>
      <c r="E696" s="113">
        <v>13598831652</v>
      </c>
      <c r="F696" s="267">
        <v>3</v>
      </c>
      <c r="G696" s="268">
        <v>3727</v>
      </c>
      <c r="H696" s="274">
        <v>14.17</v>
      </c>
      <c r="I696" s="274" t="s">
        <v>2657</v>
      </c>
      <c r="J696" s="113" t="s">
        <v>6641</v>
      </c>
      <c r="K696" s="113">
        <v>12.82</v>
      </c>
      <c r="L696" s="266" t="s">
        <v>3793</v>
      </c>
      <c r="M696" s="266" t="s">
        <v>6642</v>
      </c>
      <c r="N696" s="113" t="s">
        <v>56</v>
      </c>
      <c r="O696" s="113"/>
      <c r="P696" s="113"/>
      <c r="Q696" s="113">
        <v>32074.02</v>
      </c>
      <c r="R696" s="113">
        <v>454489</v>
      </c>
      <c r="S696" s="121">
        <v>454489</v>
      </c>
      <c r="T696" s="292">
        <f t="shared" si="217"/>
        <v>0</v>
      </c>
      <c r="U696" s="113"/>
      <c r="V696" s="113">
        <v>921</v>
      </c>
      <c r="W696" s="113">
        <v>550</v>
      </c>
      <c r="X696" s="113"/>
      <c r="Y696" s="113" t="s">
        <v>2669</v>
      </c>
      <c r="Z696" s="113" t="s">
        <v>48</v>
      </c>
      <c r="AA696" s="304">
        <v>44076</v>
      </c>
      <c r="AB696" s="113"/>
      <c r="AC696" s="246"/>
      <c r="AD696" s="115"/>
      <c r="AE696" s="115"/>
      <c r="AF696" s="115"/>
      <c r="AG696" s="115"/>
      <c r="AH696" s="115"/>
      <c r="AI696" s="132">
        <f t="shared" si="218"/>
        <v>455960</v>
      </c>
      <c r="AJ696" s="132">
        <f t="shared" si="219"/>
        <v>455960</v>
      </c>
      <c r="AK696" s="133">
        <f t="shared" si="220"/>
        <v>0</v>
      </c>
      <c r="AL696" s="115"/>
      <c r="AM696" s="115" t="s">
        <v>974</v>
      </c>
      <c r="AN696" s="246">
        <v>44846</v>
      </c>
      <c r="AO696" s="100"/>
    </row>
    <row r="697" s="96" customFormat="1" customHeight="1" spans="1:41">
      <c r="A697" s="115" t="s">
        <v>6643</v>
      </c>
      <c r="B697" s="111" t="s">
        <v>6644</v>
      </c>
      <c r="C697" s="111" t="s">
        <v>6645</v>
      </c>
      <c r="D697" s="121" t="s">
        <v>6646</v>
      </c>
      <c r="E697" s="113">
        <v>18003824667</v>
      </c>
      <c r="F697" s="267">
        <v>3</v>
      </c>
      <c r="G697" s="268">
        <v>3249</v>
      </c>
      <c r="H697" s="274">
        <v>20.01</v>
      </c>
      <c r="I697" s="274" t="s">
        <v>2657</v>
      </c>
      <c r="J697" s="113" t="s">
        <v>6647</v>
      </c>
      <c r="K697" s="116">
        <v>22</v>
      </c>
      <c r="L697" s="266" t="s">
        <v>3048</v>
      </c>
      <c r="M697" s="266" t="s">
        <v>2975</v>
      </c>
      <c r="N697" s="113" t="s">
        <v>66</v>
      </c>
      <c r="O697" s="113"/>
      <c r="P697" s="113"/>
      <c r="Q697" s="113">
        <v>31374.91</v>
      </c>
      <c r="R697" s="113">
        <v>690248</v>
      </c>
      <c r="S697" s="121">
        <v>350248</v>
      </c>
      <c r="T697" s="292">
        <f t="shared" si="217"/>
        <v>340000</v>
      </c>
      <c r="U697" s="113"/>
      <c r="V697" s="113"/>
      <c r="W697" s="113"/>
      <c r="X697" s="113"/>
      <c r="Y697" s="113"/>
      <c r="Z697" s="113"/>
      <c r="AA697" s="113"/>
      <c r="AB697" s="113"/>
      <c r="AC697" s="246"/>
      <c r="AD697" s="115"/>
      <c r="AE697" s="115"/>
      <c r="AF697" s="115"/>
      <c r="AG697" s="115"/>
      <c r="AH697" s="115"/>
      <c r="AI697" s="132">
        <f t="shared" si="218"/>
        <v>350248</v>
      </c>
      <c r="AJ697" s="132">
        <f t="shared" si="219"/>
        <v>350248</v>
      </c>
      <c r="AK697" s="133">
        <f t="shared" si="220"/>
        <v>0</v>
      </c>
      <c r="AL697" s="115"/>
      <c r="AM697" s="115" t="s">
        <v>974</v>
      </c>
      <c r="AN697" s="246">
        <v>44846</v>
      </c>
      <c r="AO697" s="100"/>
    </row>
    <row r="698" s="96" customFormat="1" customHeight="1" spans="1:41">
      <c r="A698" s="115" t="s">
        <v>6648</v>
      </c>
      <c r="B698" s="111" t="s">
        <v>6649</v>
      </c>
      <c r="C698" s="111" t="s">
        <v>6650</v>
      </c>
      <c r="D698" s="113"/>
      <c r="E698" s="113">
        <v>15037133441</v>
      </c>
      <c r="F698" s="267">
        <v>4</v>
      </c>
      <c r="G698" s="268">
        <v>4167</v>
      </c>
      <c r="H698" s="274">
        <v>24.95</v>
      </c>
      <c r="I698" s="274" t="s">
        <v>2665</v>
      </c>
      <c r="J698" s="113" t="s">
        <v>6651</v>
      </c>
      <c r="K698" s="116">
        <v>29</v>
      </c>
      <c r="L698" s="266" t="s">
        <v>3252</v>
      </c>
      <c r="M698" s="266" t="s">
        <v>4490</v>
      </c>
      <c r="N698" s="113" t="s">
        <v>66</v>
      </c>
      <c r="O698" s="113"/>
      <c r="P698" s="113"/>
      <c r="Q698" s="113">
        <v>26363.03</v>
      </c>
      <c r="R698" s="113">
        <v>764528</v>
      </c>
      <c r="S698" s="121">
        <v>384528</v>
      </c>
      <c r="T698" s="292">
        <f t="shared" si="217"/>
        <v>380000</v>
      </c>
      <c r="U698" s="113"/>
      <c r="V698" s="113"/>
      <c r="W698" s="113"/>
      <c r="X698" s="113"/>
      <c r="Y698" s="113"/>
      <c r="Z698" s="113"/>
      <c r="AA698" s="275"/>
      <c r="AB698" s="113"/>
      <c r="AC698" s="113"/>
      <c r="AD698" s="122"/>
      <c r="AE698" s="133"/>
      <c r="AF698" s="115"/>
      <c r="AG698" s="133"/>
      <c r="AH698" s="133"/>
      <c r="AI698" s="132">
        <f t="shared" si="218"/>
        <v>384528</v>
      </c>
      <c r="AJ698" s="132">
        <f t="shared" si="219"/>
        <v>384528</v>
      </c>
      <c r="AK698" s="133">
        <f t="shared" si="220"/>
        <v>0</v>
      </c>
      <c r="AL698" s="198"/>
      <c r="AM698" s="133" t="s">
        <v>886</v>
      </c>
      <c r="AN698" s="246">
        <v>44846</v>
      </c>
      <c r="AO698" s="100"/>
    </row>
    <row r="699" s="96" customFormat="1" customHeight="1" spans="1:41">
      <c r="A699" s="115" t="s">
        <v>6652</v>
      </c>
      <c r="B699" s="111" t="s">
        <v>6653</v>
      </c>
      <c r="C699" s="554" t="s">
        <v>6654</v>
      </c>
      <c r="D699" s="113" t="s">
        <v>6655</v>
      </c>
      <c r="E699" s="113">
        <v>15893712737</v>
      </c>
      <c r="F699" s="267">
        <v>1</v>
      </c>
      <c r="G699" s="268">
        <v>1563</v>
      </c>
      <c r="H699" s="274">
        <v>26.57</v>
      </c>
      <c r="I699" s="274" t="s">
        <v>2657</v>
      </c>
      <c r="J699" s="113" t="s">
        <v>6656</v>
      </c>
      <c r="K699" s="116">
        <v>25.28</v>
      </c>
      <c r="L699" s="266" t="s">
        <v>3205</v>
      </c>
      <c r="M699" s="266" t="s">
        <v>2739</v>
      </c>
      <c r="N699" s="113" t="s">
        <v>66</v>
      </c>
      <c r="O699" s="113"/>
      <c r="P699" s="113"/>
      <c r="Q699" s="113">
        <v>47599.84</v>
      </c>
      <c r="R699" s="113">
        <v>1203324</v>
      </c>
      <c r="S699" s="121">
        <v>603324</v>
      </c>
      <c r="T699" s="292">
        <f t="shared" si="217"/>
        <v>600000</v>
      </c>
      <c r="U699" s="113"/>
      <c r="V699" s="113"/>
      <c r="W699" s="113"/>
      <c r="X699" s="113"/>
      <c r="Y699" s="113"/>
      <c r="Z699" s="113"/>
      <c r="AA699" s="275"/>
      <c r="AB699" s="113"/>
      <c r="AC699" s="113"/>
      <c r="AD699" s="122"/>
      <c r="AE699" s="133"/>
      <c r="AF699" s="115"/>
      <c r="AG699" s="133"/>
      <c r="AH699" s="133"/>
      <c r="AI699" s="132">
        <f t="shared" si="218"/>
        <v>603324</v>
      </c>
      <c r="AJ699" s="132">
        <f t="shared" si="219"/>
        <v>603324</v>
      </c>
      <c r="AK699" s="133">
        <f t="shared" si="220"/>
        <v>0</v>
      </c>
      <c r="AL699" s="198"/>
      <c r="AM699" s="133" t="s">
        <v>886</v>
      </c>
      <c r="AN699" s="246">
        <v>44846</v>
      </c>
      <c r="AO699" s="100"/>
    </row>
    <row r="700" s="96" customFormat="1" customHeight="1" spans="1:41">
      <c r="A700" s="115" t="s">
        <v>6657</v>
      </c>
      <c r="B700" s="111" t="s">
        <v>6658</v>
      </c>
      <c r="C700" s="554" t="s">
        <v>6659</v>
      </c>
      <c r="D700" s="113" t="s">
        <v>6660</v>
      </c>
      <c r="E700" s="113">
        <v>13213015168</v>
      </c>
      <c r="F700" s="267">
        <v>4</v>
      </c>
      <c r="G700" s="268">
        <v>4508</v>
      </c>
      <c r="H700" s="274">
        <v>10.28</v>
      </c>
      <c r="I700" s="274" t="s">
        <v>2657</v>
      </c>
      <c r="J700" s="113" t="s">
        <v>6661</v>
      </c>
      <c r="K700" s="116">
        <v>9.22</v>
      </c>
      <c r="L700" s="266" t="s">
        <v>3096</v>
      </c>
      <c r="M700" s="266" t="s">
        <v>3739</v>
      </c>
      <c r="N700" s="113" t="s">
        <v>66</v>
      </c>
      <c r="O700" s="113"/>
      <c r="P700" s="113"/>
      <c r="Q700" s="113">
        <v>26287.64</v>
      </c>
      <c r="R700" s="113">
        <v>242372</v>
      </c>
      <c r="S700" s="121">
        <v>122372</v>
      </c>
      <c r="T700" s="292">
        <f t="shared" si="217"/>
        <v>120000</v>
      </c>
      <c r="U700" s="113"/>
      <c r="V700" s="113"/>
      <c r="W700" s="113"/>
      <c r="X700" s="113"/>
      <c r="Y700" s="113"/>
      <c r="Z700" s="113"/>
      <c r="AA700" s="275"/>
      <c r="AB700" s="113"/>
      <c r="AC700" s="113"/>
      <c r="AD700" s="122"/>
      <c r="AE700" s="133"/>
      <c r="AF700" s="115"/>
      <c r="AG700" s="133"/>
      <c r="AH700" s="133"/>
      <c r="AI700" s="132">
        <f t="shared" ref="AI700:AI706" si="221">S700+U700+V700+W700+X700+AC700+AD700+AE700</f>
        <v>122372</v>
      </c>
      <c r="AJ700" s="132">
        <f t="shared" ref="AJ700:AJ706" si="222">S700+U700+V700+W700+X700</f>
        <v>122372</v>
      </c>
      <c r="AK700" s="133">
        <f t="shared" ref="AK700:AK706" si="223">AI700-AJ700</f>
        <v>0</v>
      </c>
      <c r="AL700" s="198"/>
      <c r="AM700" s="133" t="s">
        <v>886</v>
      </c>
      <c r="AN700" s="246">
        <v>44846</v>
      </c>
      <c r="AO700" s="100"/>
    </row>
    <row r="701" s="96" customFormat="1" customHeight="1" spans="1:41">
      <c r="A701" s="115" t="s">
        <v>6662</v>
      </c>
      <c r="B701" s="111" t="s">
        <v>6663</v>
      </c>
      <c r="C701" s="554" t="s">
        <v>6664</v>
      </c>
      <c r="D701" s="113" t="s">
        <v>6665</v>
      </c>
      <c r="E701" s="113">
        <v>13526660818</v>
      </c>
      <c r="F701" s="267">
        <v>1</v>
      </c>
      <c r="G701" s="268">
        <v>1154</v>
      </c>
      <c r="H701" s="274">
        <v>34.82</v>
      </c>
      <c r="I701" s="274" t="s">
        <v>2657</v>
      </c>
      <c r="J701" s="113" t="s">
        <v>6666</v>
      </c>
      <c r="K701" s="116">
        <v>42.09</v>
      </c>
      <c r="L701" s="266" t="s">
        <v>3124</v>
      </c>
      <c r="M701" s="266" t="s">
        <v>4270</v>
      </c>
      <c r="N701" s="113" t="s">
        <v>66</v>
      </c>
      <c r="O701" s="113"/>
      <c r="P701" s="113"/>
      <c r="Q701" s="113">
        <v>46555.52</v>
      </c>
      <c r="R701" s="113">
        <v>1959522</v>
      </c>
      <c r="S701" s="121">
        <v>989522</v>
      </c>
      <c r="T701" s="292">
        <v>970000</v>
      </c>
      <c r="U701" s="113"/>
      <c r="V701" s="113"/>
      <c r="W701" s="113"/>
      <c r="X701" s="113"/>
      <c r="Y701" s="113"/>
      <c r="Z701" s="113"/>
      <c r="AA701" s="275"/>
      <c r="AB701" s="113"/>
      <c r="AC701" s="113"/>
      <c r="AD701" s="122"/>
      <c r="AE701" s="133"/>
      <c r="AF701" s="115"/>
      <c r="AG701" s="133"/>
      <c r="AH701" s="133"/>
      <c r="AI701" s="132">
        <f t="shared" si="221"/>
        <v>989522</v>
      </c>
      <c r="AJ701" s="132">
        <f t="shared" si="222"/>
        <v>989522</v>
      </c>
      <c r="AK701" s="133">
        <f t="shared" si="223"/>
        <v>0</v>
      </c>
      <c r="AL701" s="198"/>
      <c r="AM701" s="133" t="s">
        <v>886</v>
      </c>
      <c r="AN701" s="246">
        <v>44846</v>
      </c>
      <c r="AO701" s="100"/>
    </row>
    <row r="702" s="96" customFormat="1" customHeight="1" spans="1:41">
      <c r="A702" s="115" t="s">
        <v>6667</v>
      </c>
      <c r="B702" s="111" t="s">
        <v>6663</v>
      </c>
      <c r="C702" s="554" t="s">
        <v>6664</v>
      </c>
      <c r="D702" s="113" t="s">
        <v>6665</v>
      </c>
      <c r="E702" s="113">
        <v>13526660818</v>
      </c>
      <c r="F702" s="267">
        <v>1</v>
      </c>
      <c r="G702" s="268">
        <v>1716</v>
      </c>
      <c r="H702" s="274">
        <v>42.66</v>
      </c>
      <c r="I702" s="274" t="s">
        <v>2657</v>
      </c>
      <c r="J702" s="113" t="s">
        <v>6668</v>
      </c>
      <c r="K702" s="116">
        <v>41.5</v>
      </c>
      <c r="L702" s="266" t="s">
        <v>4270</v>
      </c>
      <c r="M702" s="266" t="s">
        <v>4270</v>
      </c>
      <c r="N702" s="113" t="s">
        <v>66</v>
      </c>
      <c r="O702" s="113"/>
      <c r="P702" s="113"/>
      <c r="Q702" s="113">
        <v>46103.81</v>
      </c>
      <c r="R702" s="113">
        <v>1913308</v>
      </c>
      <c r="S702" s="121">
        <v>963308</v>
      </c>
      <c r="T702" s="292">
        <v>950000</v>
      </c>
      <c r="U702" s="113"/>
      <c r="V702" s="113"/>
      <c r="W702" s="113"/>
      <c r="X702" s="113"/>
      <c r="Y702" s="113"/>
      <c r="Z702" s="113"/>
      <c r="AA702" s="275"/>
      <c r="AB702" s="113"/>
      <c r="AC702" s="113"/>
      <c r="AD702" s="122"/>
      <c r="AE702" s="133"/>
      <c r="AF702" s="115"/>
      <c r="AG702" s="133"/>
      <c r="AH702" s="133"/>
      <c r="AI702" s="132">
        <f t="shared" si="221"/>
        <v>963308</v>
      </c>
      <c r="AJ702" s="132">
        <f t="shared" si="222"/>
        <v>963308</v>
      </c>
      <c r="AK702" s="133">
        <f t="shared" si="223"/>
        <v>0</v>
      </c>
      <c r="AL702" s="198"/>
      <c r="AM702" s="133" t="s">
        <v>886</v>
      </c>
      <c r="AN702" s="246">
        <v>44846</v>
      </c>
      <c r="AO702" s="100"/>
    </row>
    <row r="703" s="96" customFormat="1" customHeight="1" spans="1:41">
      <c r="A703" s="115" t="s">
        <v>6669</v>
      </c>
      <c r="B703" s="111" t="s">
        <v>6670</v>
      </c>
      <c r="C703" s="111" t="s">
        <v>6671</v>
      </c>
      <c r="D703" s="113" t="s">
        <v>6672</v>
      </c>
      <c r="E703" s="113" t="s">
        <v>6673</v>
      </c>
      <c r="F703" s="267">
        <v>4</v>
      </c>
      <c r="G703" s="268">
        <v>4126</v>
      </c>
      <c r="H703" s="274">
        <v>24.88</v>
      </c>
      <c r="I703" s="274" t="s">
        <v>2665</v>
      </c>
      <c r="J703" s="113" t="s">
        <v>6674</v>
      </c>
      <c r="K703" s="116">
        <v>30.08</v>
      </c>
      <c r="L703" s="266" t="s">
        <v>5660</v>
      </c>
      <c r="M703" s="266" t="s">
        <v>2941</v>
      </c>
      <c r="N703" s="113" t="s">
        <v>66</v>
      </c>
      <c r="O703" s="113"/>
      <c r="P703" s="113"/>
      <c r="Q703" s="113">
        <v>26898.27</v>
      </c>
      <c r="R703" s="113">
        <v>669229</v>
      </c>
      <c r="S703" s="121">
        <v>408229</v>
      </c>
      <c r="T703" s="292">
        <f t="shared" ref="T703:T711" si="224">R703-S703</f>
        <v>261000</v>
      </c>
      <c r="U703" s="113"/>
      <c r="V703" s="113">
        <v>1617</v>
      </c>
      <c r="W703" s="113">
        <v>550</v>
      </c>
      <c r="X703" s="113"/>
      <c r="Y703" s="113" t="s">
        <v>2669</v>
      </c>
      <c r="Z703" s="113"/>
      <c r="AA703" s="275"/>
      <c r="AB703" s="113"/>
      <c r="AC703" s="113">
        <f>1000+26.1+220</f>
        <v>1246.1</v>
      </c>
      <c r="AD703" s="122"/>
      <c r="AE703" s="133"/>
      <c r="AF703" s="115"/>
      <c r="AG703" s="133"/>
      <c r="AH703" s="133"/>
      <c r="AI703" s="132">
        <f t="shared" si="221"/>
        <v>411642.1</v>
      </c>
      <c r="AJ703" s="132">
        <f t="shared" si="222"/>
        <v>410396</v>
      </c>
      <c r="AK703" s="133">
        <f t="shared" si="223"/>
        <v>1246.09999999998</v>
      </c>
      <c r="AL703" s="198"/>
      <c r="AM703" s="133" t="s">
        <v>886</v>
      </c>
      <c r="AN703" s="246">
        <v>44846</v>
      </c>
      <c r="AO703" s="100"/>
    </row>
    <row r="704" s="96" customFormat="1" customHeight="1" spans="1:57">
      <c r="A704" s="115" t="s">
        <v>6675</v>
      </c>
      <c r="B704" s="111" t="s">
        <v>6676</v>
      </c>
      <c r="C704" s="554" t="s">
        <v>6677</v>
      </c>
      <c r="D704" s="113" t="s">
        <v>6678</v>
      </c>
      <c r="E704" s="113">
        <v>13939092159</v>
      </c>
      <c r="F704" s="267">
        <v>1</v>
      </c>
      <c r="G704" s="268">
        <v>1620</v>
      </c>
      <c r="H704" s="274">
        <v>15.75</v>
      </c>
      <c r="I704" s="274" t="s">
        <v>2657</v>
      </c>
      <c r="J704" s="113" t="s">
        <v>6679</v>
      </c>
      <c r="K704" s="116">
        <v>16.47</v>
      </c>
      <c r="L704" s="266" t="s">
        <v>6680</v>
      </c>
      <c r="M704" s="266" t="s">
        <v>5374</v>
      </c>
      <c r="N704" s="113" t="s">
        <v>56</v>
      </c>
      <c r="O704" s="113"/>
      <c r="P704" s="113"/>
      <c r="Q704" s="113">
        <v>46508.8</v>
      </c>
      <c r="R704" s="113">
        <v>732514</v>
      </c>
      <c r="S704" s="121">
        <v>732514</v>
      </c>
      <c r="T704" s="292">
        <f t="shared" si="224"/>
        <v>0</v>
      </c>
      <c r="U704" s="113"/>
      <c r="V704" s="113">
        <v>1023</v>
      </c>
      <c r="W704" s="113">
        <v>550</v>
      </c>
      <c r="X704" s="113">
        <v>31913</v>
      </c>
      <c r="Y704" s="113" t="s">
        <v>2669</v>
      </c>
      <c r="Z704" s="113"/>
      <c r="AA704" s="304"/>
      <c r="AB704" s="113" t="s">
        <v>6681</v>
      </c>
      <c r="AC704" s="113"/>
      <c r="AD704" s="113"/>
      <c r="AE704" s="133"/>
      <c r="AF704" s="115"/>
      <c r="AG704" s="133"/>
      <c r="AH704" s="133"/>
      <c r="AI704" s="132">
        <f t="shared" si="221"/>
        <v>766000</v>
      </c>
      <c r="AJ704" s="132">
        <f t="shared" si="222"/>
        <v>766000</v>
      </c>
      <c r="AK704" s="133">
        <f t="shared" si="223"/>
        <v>0</v>
      </c>
      <c r="AL704" s="132"/>
      <c r="AM704" s="133" t="s">
        <v>900</v>
      </c>
      <c r="AN704" s="246">
        <v>44864</v>
      </c>
      <c r="AO704" s="137"/>
      <c r="AP704" s="97"/>
      <c r="AQ704" s="97"/>
      <c r="AR704" s="97"/>
      <c r="AS704" s="97"/>
      <c r="AT704" s="97"/>
      <c r="AU704" s="97"/>
      <c r="AV704" s="97"/>
      <c r="AW704" s="97"/>
      <c r="AX704" s="97"/>
      <c r="AY704" s="97"/>
      <c r="AZ704" s="97"/>
      <c r="BA704" s="97"/>
      <c r="BB704" s="97"/>
      <c r="BC704" s="97"/>
      <c r="BD704" s="97"/>
      <c r="BE704" s="97"/>
    </row>
    <row r="705" s="96" customFormat="1" customHeight="1" spans="1:57">
      <c r="A705" s="115" t="s">
        <v>6682</v>
      </c>
      <c r="B705" s="111" t="s">
        <v>6683</v>
      </c>
      <c r="C705" s="111" t="s">
        <v>6684</v>
      </c>
      <c r="D705" s="113" t="s">
        <v>6685</v>
      </c>
      <c r="E705" s="113">
        <v>17398961206</v>
      </c>
      <c r="F705" s="267">
        <v>3</v>
      </c>
      <c r="G705" s="268">
        <v>3285</v>
      </c>
      <c r="H705" s="274">
        <v>18.03</v>
      </c>
      <c r="I705" s="274" t="s">
        <v>2657</v>
      </c>
      <c r="J705" s="113" t="s">
        <v>6686</v>
      </c>
      <c r="K705" s="116">
        <v>16.97</v>
      </c>
      <c r="L705" s="266" t="s">
        <v>3008</v>
      </c>
      <c r="M705" s="266" t="s">
        <v>4670</v>
      </c>
      <c r="N705" s="113" t="s">
        <v>66</v>
      </c>
      <c r="O705" s="113"/>
      <c r="P705" s="113"/>
      <c r="Q705" s="113">
        <v>32092.52</v>
      </c>
      <c r="R705" s="113">
        <v>544610</v>
      </c>
      <c r="S705" s="121">
        <v>274610</v>
      </c>
      <c r="T705" s="292">
        <f t="shared" si="224"/>
        <v>270000</v>
      </c>
      <c r="U705" s="113"/>
      <c r="V705" s="113"/>
      <c r="W705" s="113"/>
      <c r="X705" s="113"/>
      <c r="Y705" s="113"/>
      <c r="Z705" s="113"/>
      <c r="AA705" s="304"/>
      <c r="AB705" s="113"/>
      <c r="AC705" s="113"/>
      <c r="AD705" s="113"/>
      <c r="AE705" s="133">
        <f>1170+550</f>
        <v>1720</v>
      </c>
      <c r="AF705" s="115"/>
      <c r="AG705" s="133"/>
      <c r="AH705" s="133"/>
      <c r="AI705" s="132">
        <f t="shared" si="221"/>
        <v>276330</v>
      </c>
      <c r="AJ705" s="132">
        <f t="shared" si="222"/>
        <v>274610</v>
      </c>
      <c r="AK705" s="133">
        <f t="shared" si="223"/>
        <v>1720</v>
      </c>
      <c r="AL705" s="132" t="s">
        <v>6687</v>
      </c>
      <c r="AM705" s="133" t="s">
        <v>900</v>
      </c>
      <c r="AN705" s="246">
        <v>44864</v>
      </c>
      <c r="AO705" s="137"/>
      <c r="AP705" s="97"/>
      <c r="AQ705" s="97"/>
      <c r="AR705" s="97"/>
      <c r="AS705" s="97"/>
      <c r="AT705" s="97"/>
      <c r="AU705" s="97"/>
      <c r="AV705" s="97"/>
      <c r="AW705" s="97"/>
      <c r="AX705" s="97"/>
      <c r="AY705" s="97"/>
      <c r="AZ705" s="97"/>
      <c r="BA705" s="97"/>
      <c r="BB705" s="97"/>
      <c r="BC705" s="97"/>
      <c r="BD705" s="97"/>
      <c r="BE705" s="97"/>
    </row>
    <row r="706" s="96" customFormat="1" customHeight="1" spans="1:57">
      <c r="A706" s="115" t="s">
        <v>6688</v>
      </c>
      <c r="B706" s="111" t="s">
        <v>6689</v>
      </c>
      <c r="C706" s="111" t="s">
        <v>6690</v>
      </c>
      <c r="D706" s="113" t="s">
        <v>6691</v>
      </c>
      <c r="E706" s="113" t="s">
        <v>6692</v>
      </c>
      <c r="F706" s="267">
        <v>2</v>
      </c>
      <c r="G706" s="268">
        <v>2250</v>
      </c>
      <c r="H706" s="274">
        <v>15.59</v>
      </c>
      <c r="I706" s="274" t="s">
        <v>2665</v>
      </c>
      <c r="J706" s="113" t="s">
        <v>6693</v>
      </c>
      <c r="K706" s="116">
        <v>24.8</v>
      </c>
      <c r="L706" s="266" t="s">
        <v>6694</v>
      </c>
      <c r="M706" s="266" t="s">
        <v>6695</v>
      </c>
      <c r="N706" s="113" t="s">
        <v>66</v>
      </c>
      <c r="O706" s="113"/>
      <c r="P706" s="113"/>
      <c r="Q706" s="113">
        <v>35008.39</v>
      </c>
      <c r="R706" s="113">
        <v>868208</v>
      </c>
      <c r="S706" s="121">
        <v>438208</v>
      </c>
      <c r="T706" s="292">
        <f t="shared" si="224"/>
        <v>430000</v>
      </c>
      <c r="U706" s="113"/>
      <c r="V706" s="113"/>
      <c r="W706" s="113"/>
      <c r="X706" s="113"/>
      <c r="Y706" s="113"/>
      <c r="Z706" s="113"/>
      <c r="AA706" s="304"/>
      <c r="AB706" s="113"/>
      <c r="AC706" s="113"/>
      <c r="AD706" s="113"/>
      <c r="AE706" s="133"/>
      <c r="AF706" s="115"/>
      <c r="AG706" s="133"/>
      <c r="AH706" s="133"/>
      <c r="AI706" s="132">
        <f t="shared" ref="AI706:AI717" si="225">S706+U706+V706+W706+X706+AC706+AD706+AE706</f>
        <v>438208</v>
      </c>
      <c r="AJ706" s="132">
        <f t="shared" ref="AJ706:AJ717" si="226">S706+U706+V706+W706+X706</f>
        <v>438208</v>
      </c>
      <c r="AK706" s="133">
        <f t="shared" ref="AK706:AK717" si="227">AI706-AJ706</f>
        <v>0</v>
      </c>
      <c r="AL706" s="132"/>
      <c r="AM706" s="133" t="s">
        <v>900</v>
      </c>
      <c r="AN706" s="246">
        <v>44864</v>
      </c>
      <c r="AO706" s="137"/>
      <c r="AP706" s="97"/>
      <c r="AQ706" s="97"/>
      <c r="AR706" s="97"/>
      <c r="AS706" s="97"/>
      <c r="AT706" s="97"/>
      <c r="AU706" s="97"/>
      <c r="AV706" s="97"/>
      <c r="AW706" s="97"/>
      <c r="AX706" s="97"/>
      <c r="AY706" s="97"/>
      <c r="AZ706" s="97"/>
      <c r="BA706" s="97"/>
      <c r="BB706" s="97"/>
      <c r="BC706" s="97"/>
      <c r="BD706" s="97"/>
      <c r="BE706" s="97"/>
    </row>
    <row r="707" s="96" customFormat="1" customHeight="1" spans="1:57">
      <c r="A707" s="115" t="s">
        <v>6696</v>
      </c>
      <c r="B707" s="111" t="s">
        <v>6697</v>
      </c>
      <c r="C707" s="111" t="s">
        <v>6698</v>
      </c>
      <c r="D707" s="113" t="s">
        <v>6699</v>
      </c>
      <c r="E707" s="113" t="s">
        <v>6700</v>
      </c>
      <c r="F707" s="267">
        <v>4</v>
      </c>
      <c r="G707" s="268">
        <v>4524</v>
      </c>
      <c r="H707" s="274">
        <v>15.36</v>
      </c>
      <c r="I707" s="274" t="s">
        <v>2657</v>
      </c>
      <c r="J707" s="113" t="s">
        <v>6701</v>
      </c>
      <c r="K707" s="116">
        <v>12.78</v>
      </c>
      <c r="L707" s="266" t="s">
        <v>3096</v>
      </c>
      <c r="M707" s="266" t="s">
        <v>3338</v>
      </c>
      <c r="N707" s="113" t="s">
        <v>56</v>
      </c>
      <c r="O707" s="113"/>
      <c r="P707" s="113"/>
      <c r="Q707" s="113">
        <v>25624.8</v>
      </c>
      <c r="R707" s="113">
        <v>327485</v>
      </c>
      <c r="S707" s="121">
        <v>327485</v>
      </c>
      <c r="T707" s="292">
        <f t="shared" si="224"/>
        <v>0</v>
      </c>
      <c r="U707" s="113"/>
      <c r="V707" s="113"/>
      <c r="W707" s="113"/>
      <c r="X707" s="113"/>
      <c r="Y707" s="113"/>
      <c r="Z707" s="113"/>
      <c r="AA707" s="304"/>
      <c r="AB707" s="113"/>
      <c r="AC707" s="113"/>
      <c r="AD707" s="113"/>
      <c r="AE707" s="133"/>
      <c r="AF707" s="115"/>
      <c r="AG707" s="133"/>
      <c r="AH707" s="133"/>
      <c r="AI707" s="132">
        <f t="shared" si="225"/>
        <v>327485</v>
      </c>
      <c r="AJ707" s="132">
        <f t="shared" si="226"/>
        <v>327485</v>
      </c>
      <c r="AK707" s="133">
        <f t="shared" si="227"/>
        <v>0</v>
      </c>
      <c r="AL707" s="132"/>
      <c r="AM707" s="133" t="s">
        <v>900</v>
      </c>
      <c r="AN707" s="246">
        <v>44864</v>
      </c>
      <c r="AO707" s="137"/>
      <c r="AP707" s="97"/>
      <c r="AQ707" s="97"/>
      <c r="AR707" s="97"/>
      <c r="AS707" s="97"/>
      <c r="AT707" s="97"/>
      <c r="AU707" s="97"/>
      <c r="AV707" s="97"/>
      <c r="AW707" s="97"/>
      <c r="AX707" s="97"/>
      <c r="AY707" s="97"/>
      <c r="AZ707" s="97"/>
      <c r="BA707" s="97"/>
      <c r="BB707" s="97"/>
      <c r="BC707" s="97"/>
      <c r="BD707" s="97"/>
      <c r="BE707" s="97"/>
    </row>
    <row r="708" s="96" customFormat="1" customHeight="1" spans="1:57">
      <c r="A708" s="115" t="s">
        <v>6702</v>
      </c>
      <c r="B708" s="111" t="s">
        <v>6703</v>
      </c>
      <c r="C708" s="111" t="s">
        <v>6704</v>
      </c>
      <c r="D708" s="113" t="s">
        <v>6705</v>
      </c>
      <c r="E708" s="113">
        <v>13283889898</v>
      </c>
      <c r="F708" s="267">
        <v>1</v>
      </c>
      <c r="G708" s="268">
        <v>1552</v>
      </c>
      <c r="H708" s="274">
        <v>24.18</v>
      </c>
      <c r="I708" s="274" t="s">
        <v>2657</v>
      </c>
      <c r="J708" s="113" t="s">
        <v>6706</v>
      </c>
      <c r="K708" s="116">
        <v>21.06</v>
      </c>
      <c r="L708" s="266" t="s">
        <v>4879</v>
      </c>
      <c r="M708" s="266" t="s">
        <v>3211</v>
      </c>
      <c r="N708" s="113" t="s">
        <v>56</v>
      </c>
      <c r="O708" s="113"/>
      <c r="P708" s="113"/>
      <c r="Q708" s="113">
        <v>47050.41</v>
      </c>
      <c r="R708" s="113">
        <v>1137679</v>
      </c>
      <c r="S708" s="121">
        <v>1137679</v>
      </c>
      <c r="T708" s="292">
        <f t="shared" si="224"/>
        <v>0</v>
      </c>
      <c r="U708" s="113"/>
      <c r="V708" s="113">
        <v>1571</v>
      </c>
      <c r="W708" s="113">
        <v>560</v>
      </c>
      <c r="X708" s="113"/>
      <c r="Y708" s="113" t="s">
        <v>2669</v>
      </c>
      <c r="Z708" s="113" t="s">
        <v>48</v>
      </c>
      <c r="AA708" s="304">
        <v>44024</v>
      </c>
      <c r="AB708" s="113"/>
      <c r="AC708" s="113"/>
      <c r="AD708" s="113"/>
      <c r="AE708" s="133"/>
      <c r="AF708" s="115"/>
      <c r="AG708" s="133"/>
      <c r="AH708" s="133"/>
      <c r="AI708" s="132">
        <f t="shared" si="225"/>
        <v>1139810</v>
      </c>
      <c r="AJ708" s="132">
        <f t="shared" si="226"/>
        <v>1139810</v>
      </c>
      <c r="AK708" s="133">
        <f t="shared" si="227"/>
        <v>0</v>
      </c>
      <c r="AL708" s="132"/>
      <c r="AM708" s="133" t="s">
        <v>900</v>
      </c>
      <c r="AN708" s="246">
        <v>44864</v>
      </c>
      <c r="AO708" s="137"/>
      <c r="AP708" s="97"/>
      <c r="AQ708" s="97"/>
      <c r="AR708" s="97"/>
      <c r="AS708" s="97"/>
      <c r="AT708" s="97"/>
      <c r="AU708" s="97"/>
      <c r="AV708" s="97"/>
      <c r="AW708" s="97"/>
      <c r="AX708" s="97"/>
      <c r="AY708" s="97"/>
      <c r="AZ708" s="97"/>
      <c r="BA708" s="97"/>
      <c r="BB708" s="97"/>
      <c r="BC708" s="97"/>
      <c r="BD708" s="97"/>
      <c r="BE708" s="97"/>
    </row>
    <row r="709" s="96" customFormat="1" customHeight="1" spans="1:57">
      <c r="A709" s="115" t="s">
        <v>6707</v>
      </c>
      <c r="B709" s="111" t="s">
        <v>6708</v>
      </c>
      <c r="C709" s="111" t="s">
        <v>6709</v>
      </c>
      <c r="D709" s="113" t="s">
        <v>6710</v>
      </c>
      <c r="E709" s="113" t="s">
        <v>6711</v>
      </c>
      <c r="F709" s="267">
        <v>2</v>
      </c>
      <c r="G709" s="268">
        <v>2327</v>
      </c>
      <c r="H709" s="274">
        <v>27.51</v>
      </c>
      <c r="I709" s="274" t="s">
        <v>2665</v>
      </c>
      <c r="J709" s="113" t="s">
        <v>6712</v>
      </c>
      <c r="K709" s="116">
        <v>26.98</v>
      </c>
      <c r="L709" s="266" t="s">
        <v>4256</v>
      </c>
      <c r="M709" s="266" t="s">
        <v>3402</v>
      </c>
      <c r="N709" s="113" t="s">
        <v>56</v>
      </c>
      <c r="O709" s="113"/>
      <c r="P709" s="113"/>
      <c r="Q709" s="113">
        <v>33872.24</v>
      </c>
      <c r="R709" s="113">
        <v>931825</v>
      </c>
      <c r="S709" s="121">
        <v>931825</v>
      </c>
      <c r="T709" s="292">
        <f t="shared" si="224"/>
        <v>0</v>
      </c>
      <c r="U709" s="113"/>
      <c r="V709" s="113">
        <v>1788</v>
      </c>
      <c r="W709" s="113">
        <v>550</v>
      </c>
      <c r="X709" s="113"/>
      <c r="Y709" s="113" t="s">
        <v>2669</v>
      </c>
      <c r="Z709" s="113" t="s">
        <v>48</v>
      </c>
      <c r="AA709" s="304">
        <v>44021</v>
      </c>
      <c r="AB709" s="113"/>
      <c r="AC709" s="113"/>
      <c r="AD709" s="113"/>
      <c r="AE709" s="133"/>
      <c r="AF709" s="115"/>
      <c r="AG709" s="133"/>
      <c r="AH709" s="133"/>
      <c r="AI709" s="132">
        <f t="shared" si="225"/>
        <v>934163</v>
      </c>
      <c r="AJ709" s="132">
        <f t="shared" si="226"/>
        <v>934163</v>
      </c>
      <c r="AK709" s="133">
        <f t="shared" si="227"/>
        <v>0</v>
      </c>
      <c r="AL709" s="132"/>
      <c r="AM709" s="133" t="s">
        <v>900</v>
      </c>
      <c r="AN709" s="246">
        <v>44864</v>
      </c>
      <c r="AO709" s="137"/>
      <c r="AP709" s="97"/>
      <c r="AQ709" s="97"/>
      <c r="AR709" s="97"/>
      <c r="AS709" s="97"/>
      <c r="AT709" s="97"/>
      <c r="AU709" s="97"/>
      <c r="AV709" s="97"/>
      <c r="AW709" s="97"/>
      <c r="AX709" s="97"/>
      <c r="AY709" s="97"/>
      <c r="AZ709" s="97"/>
      <c r="BA709" s="97"/>
      <c r="BB709" s="97"/>
      <c r="BC709" s="97"/>
      <c r="BD709" s="97"/>
      <c r="BE709" s="97"/>
    </row>
    <row r="710" s="96" customFormat="1" customHeight="1" spans="1:57">
      <c r="A710" s="115" t="s">
        <v>6713</v>
      </c>
      <c r="B710" s="111" t="s">
        <v>6714</v>
      </c>
      <c r="C710" s="111" t="s">
        <v>6715</v>
      </c>
      <c r="D710" s="113" t="s">
        <v>6716</v>
      </c>
      <c r="E710" s="113">
        <v>13838330664</v>
      </c>
      <c r="F710" s="267">
        <v>1</v>
      </c>
      <c r="G710" s="268">
        <v>1631</v>
      </c>
      <c r="H710" s="274">
        <v>20.25</v>
      </c>
      <c r="I710" s="274" t="s">
        <v>2657</v>
      </c>
      <c r="J710" s="113" t="s">
        <v>6717</v>
      </c>
      <c r="K710" s="116">
        <v>20.91</v>
      </c>
      <c r="L710" s="266" t="s">
        <v>3258</v>
      </c>
      <c r="M710" s="266" t="s">
        <v>2854</v>
      </c>
      <c r="N710" s="113" t="s">
        <v>66</v>
      </c>
      <c r="O710" s="113"/>
      <c r="P710" s="113"/>
      <c r="Q710" s="113">
        <v>47824.01</v>
      </c>
      <c r="R710" s="113">
        <v>1000000</v>
      </c>
      <c r="S710" s="121">
        <v>500000</v>
      </c>
      <c r="T710" s="292">
        <f t="shared" si="224"/>
        <v>500000</v>
      </c>
      <c r="U710" s="113"/>
      <c r="V710" s="113"/>
      <c r="W710" s="113"/>
      <c r="X710" s="113"/>
      <c r="Y710" s="113"/>
      <c r="Z710" s="113"/>
      <c r="AA710" s="304"/>
      <c r="AB710" s="113"/>
      <c r="AC710" s="113"/>
      <c r="AD710" s="113"/>
      <c r="AE710" s="133"/>
      <c r="AF710" s="115"/>
      <c r="AG710" s="133"/>
      <c r="AH710" s="133"/>
      <c r="AI710" s="132">
        <f t="shared" si="225"/>
        <v>500000</v>
      </c>
      <c r="AJ710" s="132">
        <f t="shared" si="226"/>
        <v>500000</v>
      </c>
      <c r="AK710" s="133">
        <f t="shared" si="227"/>
        <v>0</v>
      </c>
      <c r="AL710" s="132"/>
      <c r="AM710" s="133" t="s">
        <v>900</v>
      </c>
      <c r="AN710" s="246">
        <v>44865</v>
      </c>
      <c r="AO710" s="137"/>
      <c r="AP710" s="97"/>
      <c r="AQ710" s="97"/>
      <c r="AR710" s="97"/>
      <c r="AS710" s="97"/>
      <c r="AT710" s="97"/>
      <c r="AU710" s="97"/>
      <c r="AV710" s="97"/>
      <c r="AW710" s="97"/>
      <c r="AX710" s="97"/>
      <c r="AY710" s="97"/>
      <c r="AZ710" s="97"/>
      <c r="BA710" s="97"/>
      <c r="BB710" s="97"/>
      <c r="BC710" s="97"/>
      <c r="BD710" s="97"/>
      <c r="BE710" s="97"/>
    </row>
    <row r="711" s="96" customFormat="1" customHeight="1" spans="1:57">
      <c r="A711" s="115" t="s">
        <v>6718</v>
      </c>
      <c r="B711" s="111" t="s">
        <v>6719</v>
      </c>
      <c r="C711" s="554" t="s">
        <v>6720</v>
      </c>
      <c r="D711" s="113" t="s">
        <v>6721</v>
      </c>
      <c r="E711" s="113">
        <v>13903713230</v>
      </c>
      <c r="F711" s="267">
        <v>1</v>
      </c>
      <c r="G711" s="268">
        <v>1649</v>
      </c>
      <c r="H711" s="274">
        <v>16.02</v>
      </c>
      <c r="I711" s="274" t="s">
        <v>2657</v>
      </c>
      <c r="J711" s="113" t="s">
        <v>6722</v>
      </c>
      <c r="K711" s="116">
        <v>17.52</v>
      </c>
      <c r="L711" s="266" t="s">
        <v>3686</v>
      </c>
      <c r="M711" s="266" t="s">
        <v>6599</v>
      </c>
      <c r="N711" s="113" t="s">
        <v>66</v>
      </c>
      <c r="O711" s="113"/>
      <c r="P711" s="113"/>
      <c r="Q711" s="113">
        <v>48467.69</v>
      </c>
      <c r="R711" s="113">
        <v>776452</v>
      </c>
      <c r="S711" s="121">
        <v>436452</v>
      </c>
      <c r="T711" s="292">
        <f t="shared" si="224"/>
        <v>340000</v>
      </c>
      <c r="U711" s="113"/>
      <c r="V711" s="113">
        <v>1041</v>
      </c>
      <c r="W711" s="113">
        <v>550</v>
      </c>
      <c r="X711" s="113"/>
      <c r="Y711" s="113" t="s">
        <v>2669</v>
      </c>
      <c r="Z711" s="113"/>
      <c r="AA711" s="304"/>
      <c r="AB711" s="113"/>
      <c r="AC711" s="113"/>
      <c r="AD711" s="113"/>
      <c r="AE711" s="133"/>
      <c r="AF711" s="115"/>
      <c r="AG711" s="133"/>
      <c r="AH711" s="133"/>
      <c r="AI711" s="132">
        <f t="shared" si="225"/>
        <v>438043</v>
      </c>
      <c r="AJ711" s="132">
        <f t="shared" si="226"/>
        <v>438043</v>
      </c>
      <c r="AK711" s="133">
        <f t="shared" si="227"/>
        <v>0</v>
      </c>
      <c r="AL711" s="132" t="s">
        <v>6723</v>
      </c>
      <c r="AM711" s="133" t="s">
        <v>900</v>
      </c>
      <c r="AN711" s="246">
        <v>44865</v>
      </c>
      <c r="AO711" s="137"/>
      <c r="AP711" s="97"/>
      <c r="AQ711" s="97"/>
      <c r="AR711" s="97"/>
      <c r="AS711" s="97"/>
      <c r="AT711" s="97"/>
      <c r="AU711" s="97"/>
      <c r="AV711" s="97"/>
      <c r="AW711" s="97"/>
      <c r="AX711" s="97"/>
      <c r="AY711" s="97"/>
      <c r="AZ711" s="97"/>
      <c r="BA711" s="97"/>
      <c r="BB711" s="97"/>
      <c r="BC711" s="97"/>
      <c r="BD711" s="97"/>
      <c r="BE711" s="97"/>
    </row>
    <row r="712" s="96" customFormat="1" customHeight="1" spans="1:57">
      <c r="A712" s="115" t="s">
        <v>6724</v>
      </c>
      <c r="B712" s="111" t="s">
        <v>6725</v>
      </c>
      <c r="C712" s="554" t="s">
        <v>6726</v>
      </c>
      <c r="D712" s="113" t="s">
        <v>6727</v>
      </c>
      <c r="E712" s="113">
        <v>13838582923</v>
      </c>
      <c r="F712" s="267">
        <v>3</v>
      </c>
      <c r="G712" s="268">
        <v>3836</v>
      </c>
      <c r="H712" s="274">
        <v>16.07</v>
      </c>
      <c r="I712" s="274" t="s">
        <v>2657</v>
      </c>
      <c r="J712" s="113" t="s">
        <v>6728</v>
      </c>
      <c r="K712" s="116">
        <v>15.11</v>
      </c>
      <c r="L712" s="266" t="s">
        <v>2747</v>
      </c>
      <c r="M712" s="266" t="s">
        <v>3818</v>
      </c>
      <c r="N712" s="113" t="s">
        <v>66</v>
      </c>
      <c r="O712" s="113"/>
      <c r="P712" s="113"/>
      <c r="Q712" s="113">
        <v>32952.42</v>
      </c>
      <c r="R712" s="113">
        <v>529545</v>
      </c>
      <c r="S712" s="121">
        <v>269545</v>
      </c>
      <c r="T712" s="292"/>
      <c r="U712" s="113">
        <v>260000</v>
      </c>
      <c r="V712" s="113">
        <v>1044</v>
      </c>
      <c r="W712" s="113">
        <v>550</v>
      </c>
      <c r="X712" s="113"/>
      <c r="Y712" s="113" t="s">
        <v>2669</v>
      </c>
      <c r="Z712" s="113" t="s">
        <v>48</v>
      </c>
      <c r="AA712" s="304">
        <v>44052</v>
      </c>
      <c r="AB712" s="113"/>
      <c r="AC712" s="113">
        <v>1246</v>
      </c>
      <c r="AD712" s="113"/>
      <c r="AE712" s="133"/>
      <c r="AF712" s="115"/>
      <c r="AG712" s="133"/>
      <c r="AH712" s="133"/>
      <c r="AI712" s="132">
        <f t="shared" si="225"/>
        <v>532385</v>
      </c>
      <c r="AJ712" s="132">
        <f t="shared" si="226"/>
        <v>531139</v>
      </c>
      <c r="AK712" s="133">
        <f t="shared" si="227"/>
        <v>1246</v>
      </c>
      <c r="AL712" s="132"/>
      <c r="AM712" s="133" t="s">
        <v>900</v>
      </c>
      <c r="AN712" s="246">
        <v>44865</v>
      </c>
      <c r="AO712" s="137"/>
      <c r="AP712" s="97"/>
      <c r="AQ712" s="97"/>
      <c r="AR712" s="97"/>
      <c r="AS712" s="97"/>
      <c r="AT712" s="97"/>
      <c r="AU712" s="97"/>
      <c r="AV712" s="97"/>
      <c r="AW712" s="97"/>
      <c r="AX712" s="97"/>
      <c r="AY712" s="97"/>
      <c r="AZ712" s="97"/>
      <c r="BA712" s="97"/>
      <c r="BB712" s="97"/>
      <c r="BC712" s="97"/>
      <c r="BD712" s="97"/>
      <c r="BE712" s="97"/>
    </row>
    <row r="713" s="96" customFormat="1" customHeight="1" spans="1:57">
      <c r="A713" s="115" t="s">
        <v>6729</v>
      </c>
      <c r="B713" s="111" t="s">
        <v>6730</v>
      </c>
      <c r="C713" s="554" t="s">
        <v>6731</v>
      </c>
      <c r="D713" s="113" t="s">
        <v>6732</v>
      </c>
      <c r="E713" s="113" t="s">
        <v>6733</v>
      </c>
      <c r="F713" s="267">
        <v>4</v>
      </c>
      <c r="G713" s="268" t="s">
        <v>6734</v>
      </c>
      <c r="H713" s="274">
        <v>20.28</v>
      </c>
      <c r="I713" s="274" t="s">
        <v>2665</v>
      </c>
      <c r="J713" s="113" t="s">
        <v>6735</v>
      </c>
      <c r="K713" s="116">
        <v>20.28</v>
      </c>
      <c r="L713" s="266" t="s">
        <v>2711</v>
      </c>
      <c r="M713" s="266" t="s">
        <v>2799</v>
      </c>
      <c r="N713" s="113" t="s">
        <v>66</v>
      </c>
      <c r="O713" s="113"/>
      <c r="P713" s="113"/>
      <c r="Q713" s="113">
        <v>20074.4063324538</v>
      </c>
      <c r="R713" s="113">
        <v>407108.960422163</v>
      </c>
      <c r="S713" s="121">
        <v>380820</v>
      </c>
      <c r="T713" s="292">
        <f>R713-S713</f>
        <v>26288.960422163</v>
      </c>
      <c r="U713" s="113"/>
      <c r="V713" s="113"/>
      <c r="W713" s="113"/>
      <c r="X713" s="113"/>
      <c r="Y713" s="113"/>
      <c r="Z713" s="113"/>
      <c r="AA713" s="304"/>
      <c r="AB713" s="113"/>
      <c r="AC713" s="113"/>
      <c r="AD713" s="113"/>
      <c r="AE713" s="133"/>
      <c r="AF713" s="115"/>
      <c r="AG713" s="133"/>
      <c r="AH713" s="133"/>
      <c r="AI713" s="132">
        <f t="shared" si="225"/>
        <v>380820</v>
      </c>
      <c r="AJ713" s="132">
        <f t="shared" si="226"/>
        <v>380820</v>
      </c>
      <c r="AK713" s="133">
        <f t="shared" si="227"/>
        <v>0</v>
      </c>
      <c r="AL713" s="132"/>
      <c r="AM713" s="133" t="s">
        <v>900</v>
      </c>
      <c r="AN713" s="246">
        <v>44865</v>
      </c>
      <c r="AO713" s="137"/>
      <c r="AP713" s="97"/>
      <c r="AQ713" s="97"/>
      <c r="AR713" s="97"/>
      <c r="AS713" s="97"/>
      <c r="AT713" s="97"/>
      <c r="AU713" s="97"/>
      <c r="AV713" s="97"/>
      <c r="AW713" s="97"/>
      <c r="AX713" s="97"/>
      <c r="AY713" s="97"/>
      <c r="AZ713" s="97"/>
      <c r="BA713" s="97"/>
      <c r="BB713" s="97"/>
      <c r="BC713" s="97"/>
      <c r="BD713" s="97"/>
      <c r="BE713" s="97"/>
    </row>
    <row r="714" s="96" customFormat="1" customHeight="1" spans="1:41">
      <c r="A714" s="115" t="s">
        <v>6736</v>
      </c>
      <c r="B714" s="111" t="s">
        <v>6737</v>
      </c>
      <c r="C714" s="111" t="s">
        <v>6738</v>
      </c>
      <c r="D714" s="113" t="s">
        <v>6739</v>
      </c>
      <c r="E714" s="113">
        <v>13633843382</v>
      </c>
      <c r="F714" s="267">
        <v>3</v>
      </c>
      <c r="G714" s="268">
        <v>362</v>
      </c>
      <c r="H714" s="274">
        <v>18.52</v>
      </c>
      <c r="I714" s="274" t="s">
        <v>2665</v>
      </c>
      <c r="J714" s="113" t="s">
        <v>6740</v>
      </c>
      <c r="K714" s="116">
        <v>18.38</v>
      </c>
      <c r="L714" s="266" t="s">
        <v>2711</v>
      </c>
      <c r="M714" s="266" t="s">
        <v>3402</v>
      </c>
      <c r="N714" s="113" t="s">
        <v>66</v>
      </c>
      <c r="O714" s="113"/>
      <c r="P714" s="113"/>
      <c r="Q714" s="113">
        <v>23597.6605005441</v>
      </c>
      <c r="R714" s="113">
        <v>437029</v>
      </c>
      <c r="S714" s="121">
        <v>222029</v>
      </c>
      <c r="T714" s="292">
        <f>R714-S714</f>
        <v>215000</v>
      </c>
      <c r="U714" s="113"/>
      <c r="V714" s="113">
        <v>1203</v>
      </c>
      <c r="W714" s="113">
        <v>550</v>
      </c>
      <c r="X714" s="113"/>
      <c r="Y714" s="113" t="s">
        <v>2669</v>
      </c>
      <c r="Z714" s="113"/>
      <c r="AA714" s="275"/>
      <c r="AB714" s="113"/>
      <c r="AC714" s="113">
        <f>1241.5+57</f>
        <v>1298.5</v>
      </c>
      <c r="AD714" s="122"/>
      <c r="AE714" s="133"/>
      <c r="AF714" s="115"/>
      <c r="AG714" s="133"/>
      <c r="AH714" s="133"/>
      <c r="AI714" s="132">
        <f t="shared" si="225"/>
        <v>225080.5</v>
      </c>
      <c r="AJ714" s="132">
        <f t="shared" si="226"/>
        <v>223782</v>
      </c>
      <c r="AK714" s="133">
        <f t="shared" si="227"/>
        <v>1298.5</v>
      </c>
      <c r="AL714" s="198" t="s">
        <v>6741</v>
      </c>
      <c r="AM714" s="133" t="s">
        <v>886</v>
      </c>
      <c r="AN714" s="246">
        <v>44864</v>
      </c>
      <c r="AO714" s="100"/>
    </row>
    <row r="715" s="96" customFormat="1" customHeight="1" spans="1:41">
      <c r="A715" s="115" t="s">
        <v>6742</v>
      </c>
      <c r="B715" s="111" t="s">
        <v>6743</v>
      </c>
      <c r="C715" s="111" t="s">
        <v>6744</v>
      </c>
      <c r="D715" s="113" t="s">
        <v>6745</v>
      </c>
      <c r="E715" s="113">
        <v>15837156010</v>
      </c>
      <c r="F715" s="267">
        <v>3</v>
      </c>
      <c r="G715" s="268">
        <v>3681</v>
      </c>
      <c r="H715" s="274">
        <v>17</v>
      </c>
      <c r="I715" s="274" t="s">
        <v>2657</v>
      </c>
      <c r="J715" s="113" t="s">
        <v>6746</v>
      </c>
      <c r="K715" s="116">
        <v>15.7</v>
      </c>
      <c r="L715" s="266" t="s">
        <v>3049</v>
      </c>
      <c r="M715" s="266" t="s">
        <v>5454</v>
      </c>
      <c r="N715" s="113" t="s">
        <v>66</v>
      </c>
      <c r="O715" s="113"/>
      <c r="P715" s="113"/>
      <c r="Q715" s="113">
        <v>31858.41</v>
      </c>
      <c r="R715" s="113">
        <v>541593</v>
      </c>
      <c r="S715" s="121">
        <v>271593</v>
      </c>
      <c r="T715" s="292">
        <f>R715-S715</f>
        <v>270000</v>
      </c>
      <c r="U715" s="113"/>
      <c r="V715" s="113">
        <v>1105</v>
      </c>
      <c r="W715" s="113">
        <v>550</v>
      </c>
      <c r="X715" s="113"/>
      <c r="Y715" s="113" t="s">
        <v>2669</v>
      </c>
      <c r="Z715" s="113"/>
      <c r="AA715" s="275"/>
      <c r="AB715" s="113"/>
      <c r="AC715" s="113">
        <v>1247</v>
      </c>
      <c r="AD715" s="122"/>
      <c r="AE715" s="133"/>
      <c r="AF715" s="115"/>
      <c r="AG715" s="133"/>
      <c r="AH715" s="133"/>
      <c r="AI715" s="132">
        <f t="shared" si="225"/>
        <v>274495</v>
      </c>
      <c r="AJ715" s="132">
        <f t="shared" si="226"/>
        <v>273248</v>
      </c>
      <c r="AK715" s="133">
        <f t="shared" si="227"/>
        <v>1247</v>
      </c>
      <c r="AL715" s="198"/>
      <c r="AM715" s="133" t="s">
        <v>886</v>
      </c>
      <c r="AN715" s="246">
        <v>44864</v>
      </c>
      <c r="AO715" s="100"/>
    </row>
    <row r="716" s="96" customFormat="1" customHeight="1" spans="1:41">
      <c r="A716" s="115" t="s">
        <v>6747</v>
      </c>
      <c r="B716" s="111" t="s">
        <v>6748</v>
      </c>
      <c r="C716" s="111" t="s">
        <v>6749</v>
      </c>
      <c r="D716" s="113" t="s">
        <v>6750</v>
      </c>
      <c r="E716" s="111">
        <v>18039516727</v>
      </c>
      <c r="F716" s="267">
        <v>3</v>
      </c>
      <c r="G716" s="268">
        <v>3586</v>
      </c>
      <c r="H716" s="274">
        <v>12.44</v>
      </c>
      <c r="I716" s="274" t="s">
        <v>2657</v>
      </c>
      <c r="J716" s="113" t="s">
        <v>6751</v>
      </c>
      <c r="K716" s="116">
        <v>13.2</v>
      </c>
      <c r="L716" s="266" t="s">
        <v>2961</v>
      </c>
      <c r="M716" s="266" t="s">
        <v>4239</v>
      </c>
      <c r="N716" s="113" t="s">
        <v>66</v>
      </c>
      <c r="O716" s="113"/>
      <c r="P716" s="113"/>
      <c r="Q716" s="113">
        <v>32085.08</v>
      </c>
      <c r="R716" s="113">
        <v>399138</v>
      </c>
      <c r="S716" s="121">
        <v>219138</v>
      </c>
      <c r="T716" s="292" t="s">
        <v>47</v>
      </c>
      <c r="U716" s="113">
        <v>180000</v>
      </c>
      <c r="V716" s="113">
        <v>808</v>
      </c>
      <c r="W716" s="113">
        <v>550</v>
      </c>
      <c r="X716" s="113"/>
      <c r="Y716" s="113" t="s">
        <v>2669</v>
      </c>
      <c r="Z716" s="113" t="s">
        <v>48</v>
      </c>
      <c r="AA716" s="275">
        <v>44051</v>
      </c>
      <c r="AB716" s="113"/>
      <c r="AC716" s="113">
        <v>1238</v>
      </c>
      <c r="AD716" s="122"/>
      <c r="AE716" s="133"/>
      <c r="AF716" s="115"/>
      <c r="AG716" s="133"/>
      <c r="AH716" s="133"/>
      <c r="AI716" s="132">
        <f t="shared" si="225"/>
        <v>401734</v>
      </c>
      <c r="AJ716" s="132">
        <f t="shared" si="226"/>
        <v>400496</v>
      </c>
      <c r="AK716" s="133">
        <f t="shared" si="227"/>
        <v>1238</v>
      </c>
      <c r="AL716" s="198"/>
      <c r="AM716" s="133" t="s">
        <v>886</v>
      </c>
      <c r="AN716" s="246">
        <v>44888</v>
      </c>
      <c r="AO716" s="100"/>
    </row>
    <row r="717" s="96" customFormat="1" customHeight="1" spans="1:41">
      <c r="A717" s="115" t="s">
        <v>6752</v>
      </c>
      <c r="B717" s="111" t="s">
        <v>6753</v>
      </c>
      <c r="C717" s="111" t="s">
        <v>6754</v>
      </c>
      <c r="D717" s="113" t="s">
        <v>6755</v>
      </c>
      <c r="E717" s="113">
        <v>17537112998</v>
      </c>
      <c r="F717" s="267">
        <v>3</v>
      </c>
      <c r="G717" s="268">
        <v>3764</v>
      </c>
      <c r="H717" s="274">
        <v>18.44</v>
      </c>
      <c r="I717" s="274" t="s">
        <v>2657</v>
      </c>
      <c r="J717" s="113" t="s">
        <v>6756</v>
      </c>
      <c r="K717" s="116">
        <v>10.32</v>
      </c>
      <c r="L717" s="266" t="s">
        <v>4587</v>
      </c>
      <c r="M717" s="266" t="s">
        <v>6757</v>
      </c>
      <c r="N717" s="113" t="s">
        <v>56</v>
      </c>
      <c r="O717" s="113"/>
      <c r="P717" s="113"/>
      <c r="Q717" s="113">
        <v>32655.04</v>
      </c>
      <c r="R717" s="113">
        <v>337000</v>
      </c>
      <c r="S717" s="121">
        <v>337000</v>
      </c>
      <c r="T717" s="292">
        <v>0</v>
      </c>
      <c r="U717" s="113"/>
      <c r="V717" s="113"/>
      <c r="W717" s="113"/>
      <c r="X717" s="113"/>
      <c r="Y717" s="113"/>
      <c r="Z717" s="113"/>
      <c r="AA717" s="275"/>
      <c r="AB717" s="113"/>
      <c r="AC717" s="113"/>
      <c r="AD717" s="122">
        <v>2881</v>
      </c>
      <c r="AE717" s="133"/>
      <c r="AF717" s="115"/>
      <c r="AG717" s="133"/>
      <c r="AH717" s="133"/>
      <c r="AI717" s="132">
        <f t="shared" si="225"/>
        <v>339881</v>
      </c>
      <c r="AJ717" s="132">
        <f t="shared" si="226"/>
        <v>337000</v>
      </c>
      <c r="AK717" s="133">
        <f t="shared" si="227"/>
        <v>2881</v>
      </c>
      <c r="AL717" s="198"/>
      <c r="AM717" s="133" t="s">
        <v>886</v>
      </c>
      <c r="AN717" s="246">
        <v>44864</v>
      </c>
      <c r="AO717" s="100"/>
    </row>
    <row r="718" s="96" customFormat="1" customHeight="1" spans="1:41">
      <c r="A718" s="115" t="s">
        <v>6758</v>
      </c>
      <c r="B718" s="111" t="s">
        <v>6759</v>
      </c>
      <c r="C718" s="554" t="s">
        <v>6760</v>
      </c>
      <c r="D718" s="113" t="s">
        <v>6761</v>
      </c>
      <c r="E718" s="113">
        <v>15188309099</v>
      </c>
      <c r="F718" s="267">
        <v>3</v>
      </c>
      <c r="G718" s="268">
        <v>374</v>
      </c>
      <c r="H718" s="274">
        <v>31.55</v>
      </c>
      <c r="I718" s="274" t="s">
        <v>2665</v>
      </c>
      <c r="J718" s="113" t="s">
        <v>6762</v>
      </c>
      <c r="K718" s="116">
        <v>30.63</v>
      </c>
      <c r="L718" s="266" t="s">
        <v>2711</v>
      </c>
      <c r="M718" s="266"/>
      <c r="N718" s="113" t="s">
        <v>56</v>
      </c>
      <c r="O718" s="113"/>
      <c r="P718" s="113"/>
      <c r="Q718" s="113">
        <v>22644.2050277506</v>
      </c>
      <c r="R718" s="113">
        <v>693592</v>
      </c>
      <c r="S718" s="121">
        <v>693592</v>
      </c>
      <c r="T718" s="292">
        <f t="shared" ref="T718:T747" si="228">R718-S718</f>
        <v>0</v>
      </c>
      <c r="U718" s="113"/>
      <c r="V718" s="113"/>
      <c r="W718" s="113"/>
      <c r="X718" s="113"/>
      <c r="Y718" s="113"/>
      <c r="Z718" s="113"/>
      <c r="AA718" s="275"/>
      <c r="AB718" s="113"/>
      <c r="AC718" s="113"/>
      <c r="AD718" s="122"/>
      <c r="AE718" s="133"/>
      <c r="AF718" s="115"/>
      <c r="AG718" s="133"/>
      <c r="AH718" s="133"/>
      <c r="AI718" s="132">
        <f t="shared" ref="AI718:AI730" si="229">S718+U718+V718+W718+X718+AC718+AD718+AE718</f>
        <v>693592</v>
      </c>
      <c r="AJ718" s="132">
        <f t="shared" ref="AJ718:AJ730" si="230">S718+U718+V718+W718+X718</f>
        <v>693592</v>
      </c>
      <c r="AK718" s="133">
        <f t="shared" ref="AK718:AK730" si="231">AI718-AJ718</f>
        <v>0</v>
      </c>
      <c r="AL718" s="198"/>
      <c r="AM718" s="133" t="s">
        <v>886</v>
      </c>
      <c r="AN718" s="246">
        <v>44864</v>
      </c>
      <c r="AO718" s="100"/>
    </row>
    <row r="719" s="96" customFormat="1" customHeight="1" spans="1:41">
      <c r="A719" s="115" t="s">
        <v>6763</v>
      </c>
      <c r="B719" s="111" t="s">
        <v>6764</v>
      </c>
      <c r="C719" s="554" t="s">
        <v>6765</v>
      </c>
      <c r="D719" s="113" t="s">
        <v>6766</v>
      </c>
      <c r="E719" s="113">
        <v>13523090264</v>
      </c>
      <c r="F719" s="267">
        <v>1</v>
      </c>
      <c r="G719" s="268">
        <v>1321</v>
      </c>
      <c r="H719" s="274">
        <v>13.93</v>
      </c>
      <c r="I719" s="274" t="s">
        <v>2657</v>
      </c>
      <c r="J719" s="113" t="s">
        <v>6767</v>
      </c>
      <c r="K719" s="116">
        <v>15.27</v>
      </c>
      <c r="L719" s="266" t="s">
        <v>2718</v>
      </c>
      <c r="M719" s="266" t="s">
        <v>3823</v>
      </c>
      <c r="N719" s="113" t="s">
        <v>66</v>
      </c>
      <c r="O719" s="113"/>
      <c r="P719" s="113"/>
      <c r="Q719" s="113">
        <v>50755.01</v>
      </c>
      <c r="R719" s="113">
        <v>775029</v>
      </c>
      <c r="S719" s="121">
        <v>395029</v>
      </c>
      <c r="T719" s="292">
        <f t="shared" si="228"/>
        <v>380000</v>
      </c>
      <c r="U719" s="113"/>
      <c r="V719" s="113"/>
      <c r="W719" s="113"/>
      <c r="X719" s="113"/>
      <c r="Y719" s="113"/>
      <c r="Z719" s="113"/>
      <c r="AA719" s="275"/>
      <c r="AB719" s="113"/>
      <c r="AC719" s="113"/>
      <c r="AD719" s="122"/>
      <c r="AE719" s="133"/>
      <c r="AF719" s="115"/>
      <c r="AG719" s="133"/>
      <c r="AH719" s="133"/>
      <c r="AI719" s="132">
        <f t="shared" si="229"/>
        <v>395029</v>
      </c>
      <c r="AJ719" s="132">
        <f t="shared" si="230"/>
        <v>395029</v>
      </c>
      <c r="AK719" s="133">
        <f t="shared" si="231"/>
        <v>0</v>
      </c>
      <c r="AL719" s="198"/>
      <c r="AM719" s="133" t="s">
        <v>886</v>
      </c>
      <c r="AN719" s="246">
        <v>44864</v>
      </c>
      <c r="AO719" s="100"/>
    </row>
    <row r="720" s="96" customFormat="1" customHeight="1" spans="1:41">
      <c r="A720" s="115" t="s">
        <v>6768</v>
      </c>
      <c r="B720" s="111" t="s">
        <v>6769</v>
      </c>
      <c r="C720" s="111" t="s">
        <v>6770</v>
      </c>
      <c r="D720" s="113" t="s">
        <v>6771</v>
      </c>
      <c r="E720" s="113">
        <v>13849020217</v>
      </c>
      <c r="F720" s="267">
        <v>3</v>
      </c>
      <c r="G720" s="268">
        <v>3153</v>
      </c>
      <c r="H720" s="274">
        <v>24.78</v>
      </c>
      <c r="I720" s="274" t="s">
        <v>2657</v>
      </c>
      <c r="J720" s="113" t="s">
        <v>6772</v>
      </c>
      <c r="K720" s="116">
        <v>19.31</v>
      </c>
      <c r="L720" s="266" t="s">
        <v>3956</v>
      </c>
      <c r="M720" s="266" t="s">
        <v>3131</v>
      </c>
      <c r="N720" s="113" t="s">
        <v>66</v>
      </c>
      <c r="O720" s="113"/>
      <c r="P720" s="113"/>
      <c r="Q720" s="113">
        <v>32280.68</v>
      </c>
      <c r="R720" s="113">
        <v>623340</v>
      </c>
      <c r="S720" s="121">
        <v>313340</v>
      </c>
      <c r="T720" s="292">
        <f t="shared" si="228"/>
        <v>310000</v>
      </c>
      <c r="U720" s="113"/>
      <c r="V720" s="113"/>
      <c r="W720" s="113"/>
      <c r="X720" s="113"/>
      <c r="Y720" s="113"/>
      <c r="Z720" s="113"/>
      <c r="AA720" s="275"/>
      <c r="AB720" s="113"/>
      <c r="AC720" s="113"/>
      <c r="AD720" s="122"/>
      <c r="AE720" s="133"/>
      <c r="AF720" s="115"/>
      <c r="AG720" s="133"/>
      <c r="AH720" s="133"/>
      <c r="AI720" s="132">
        <f t="shared" si="229"/>
        <v>313340</v>
      </c>
      <c r="AJ720" s="132">
        <f t="shared" si="230"/>
        <v>313340</v>
      </c>
      <c r="AK720" s="133">
        <f t="shared" si="231"/>
        <v>0</v>
      </c>
      <c r="AL720" s="198"/>
      <c r="AM720" s="133" t="s">
        <v>886</v>
      </c>
      <c r="AN720" s="246">
        <v>44864</v>
      </c>
      <c r="AO720" s="100"/>
    </row>
    <row r="721" s="96" customFormat="1" customHeight="1" spans="1:41">
      <c r="A721" s="115" t="s">
        <v>6773</v>
      </c>
      <c r="B721" s="111" t="s">
        <v>6774</v>
      </c>
      <c r="C721" s="111" t="s">
        <v>6775</v>
      </c>
      <c r="D721" s="113" t="s">
        <v>6776</v>
      </c>
      <c r="E721" s="113">
        <v>13613812817</v>
      </c>
      <c r="F721" s="267">
        <v>3</v>
      </c>
      <c r="G721" s="268">
        <v>3697</v>
      </c>
      <c r="H721" s="274">
        <v>24.31</v>
      </c>
      <c r="I721" s="274" t="s">
        <v>2657</v>
      </c>
      <c r="J721" s="113" t="s">
        <v>6777</v>
      </c>
      <c r="K721" s="116">
        <v>26.31</v>
      </c>
      <c r="L721" s="266" t="s">
        <v>3538</v>
      </c>
      <c r="M721" s="266" t="s">
        <v>6680</v>
      </c>
      <c r="N721" s="113" t="s">
        <v>66</v>
      </c>
      <c r="O721" s="113"/>
      <c r="P721" s="113"/>
      <c r="Q721" s="113">
        <v>31166.86</v>
      </c>
      <c r="R721" s="113">
        <v>820000</v>
      </c>
      <c r="S721" s="121">
        <v>410000</v>
      </c>
      <c r="T721" s="292">
        <f t="shared" si="228"/>
        <v>410000</v>
      </c>
      <c r="U721" s="113"/>
      <c r="V721" s="113"/>
      <c r="W721" s="113"/>
      <c r="X721" s="113"/>
      <c r="Y721" s="113"/>
      <c r="Z721" s="113"/>
      <c r="AA721" s="275"/>
      <c r="AB721" s="113"/>
      <c r="AC721" s="113"/>
      <c r="AD721" s="122"/>
      <c r="AE721" s="133"/>
      <c r="AF721" s="115"/>
      <c r="AG721" s="133"/>
      <c r="AH721" s="133"/>
      <c r="AI721" s="132">
        <f t="shared" si="229"/>
        <v>410000</v>
      </c>
      <c r="AJ721" s="132">
        <f t="shared" si="230"/>
        <v>410000</v>
      </c>
      <c r="AK721" s="133">
        <f t="shared" si="231"/>
        <v>0</v>
      </c>
      <c r="AL721" s="198"/>
      <c r="AM721" s="133" t="s">
        <v>886</v>
      </c>
      <c r="AN721" s="246">
        <v>44864</v>
      </c>
      <c r="AO721" s="100"/>
    </row>
    <row r="722" s="96" customFormat="1" customHeight="1" spans="1:41">
      <c r="A722" s="115" t="s">
        <v>6778</v>
      </c>
      <c r="B722" s="111" t="s">
        <v>6779</v>
      </c>
      <c r="C722" s="554" t="s">
        <v>6780</v>
      </c>
      <c r="D722" s="113" t="s">
        <v>6781</v>
      </c>
      <c r="E722" s="113">
        <v>13903788898</v>
      </c>
      <c r="F722" s="267">
        <v>1</v>
      </c>
      <c r="G722" s="268">
        <v>1752</v>
      </c>
      <c r="H722" s="274">
        <v>16.5</v>
      </c>
      <c r="I722" s="274" t="s">
        <v>2657</v>
      </c>
      <c r="J722" s="113" t="s">
        <v>6782</v>
      </c>
      <c r="K722" s="116">
        <v>18.47</v>
      </c>
      <c r="L722" s="266" t="s">
        <v>3042</v>
      </c>
      <c r="M722" s="266" t="s">
        <v>2747</v>
      </c>
      <c r="N722" s="113" t="s">
        <v>66</v>
      </c>
      <c r="O722" s="113"/>
      <c r="P722" s="113"/>
      <c r="Q722" s="113">
        <v>48445.8</v>
      </c>
      <c r="R722" s="113">
        <v>894794</v>
      </c>
      <c r="S722" s="121">
        <v>454794</v>
      </c>
      <c r="T722" s="292">
        <f t="shared" si="228"/>
        <v>440000</v>
      </c>
      <c r="U722" s="113"/>
      <c r="V722" s="113"/>
      <c r="W722" s="113"/>
      <c r="X722" s="113"/>
      <c r="Y722" s="113"/>
      <c r="Z722" s="113"/>
      <c r="AA722" s="275"/>
      <c r="AB722" s="113"/>
      <c r="AC722" s="113"/>
      <c r="AD722" s="122"/>
      <c r="AE722" s="133"/>
      <c r="AF722" s="115"/>
      <c r="AG722" s="133"/>
      <c r="AH722" s="133"/>
      <c r="AI722" s="132">
        <f t="shared" si="229"/>
        <v>454794</v>
      </c>
      <c r="AJ722" s="132">
        <f t="shared" si="230"/>
        <v>454794</v>
      </c>
      <c r="AK722" s="133">
        <f t="shared" si="231"/>
        <v>0</v>
      </c>
      <c r="AL722" s="198"/>
      <c r="AM722" s="133" t="s">
        <v>886</v>
      </c>
      <c r="AN722" s="246">
        <v>44864</v>
      </c>
      <c r="AO722" s="100"/>
    </row>
    <row r="723" s="96" customFormat="1" customHeight="1" spans="1:41">
      <c r="A723" s="115" t="s">
        <v>6783</v>
      </c>
      <c r="B723" s="111" t="s">
        <v>6784</v>
      </c>
      <c r="C723" s="111" t="s">
        <v>6785</v>
      </c>
      <c r="D723" s="113" t="s">
        <v>6786</v>
      </c>
      <c r="E723" s="113">
        <v>15515966016</v>
      </c>
      <c r="F723" s="267">
        <v>4</v>
      </c>
      <c r="G723" s="268">
        <v>450</v>
      </c>
      <c r="H723" s="274">
        <v>20.98</v>
      </c>
      <c r="I723" s="274" t="s">
        <v>2657</v>
      </c>
      <c r="J723" s="113" t="s">
        <v>6787</v>
      </c>
      <c r="K723" s="116">
        <v>17.68</v>
      </c>
      <c r="L723" s="266" t="s">
        <v>2806</v>
      </c>
      <c r="M723" s="266" t="s">
        <v>2806</v>
      </c>
      <c r="N723" s="113" t="s">
        <v>66</v>
      </c>
      <c r="O723" s="113"/>
      <c r="P723" s="113"/>
      <c r="Q723" s="113">
        <v>26034.9</v>
      </c>
      <c r="R723" s="113">
        <v>460297</v>
      </c>
      <c r="S723" s="121">
        <v>230297</v>
      </c>
      <c r="T723" s="292">
        <f t="shared" si="228"/>
        <v>230000</v>
      </c>
      <c r="U723" s="113"/>
      <c r="V723" s="113"/>
      <c r="W723" s="113"/>
      <c r="X723" s="113"/>
      <c r="Y723" s="113"/>
      <c r="Z723" s="113"/>
      <c r="AA723" s="275"/>
      <c r="AB723" s="113"/>
      <c r="AC723" s="113"/>
      <c r="AD723" s="122"/>
      <c r="AE723" s="133"/>
      <c r="AF723" s="115"/>
      <c r="AG723" s="133"/>
      <c r="AH723" s="133"/>
      <c r="AI723" s="132">
        <f t="shared" si="229"/>
        <v>230297</v>
      </c>
      <c r="AJ723" s="132">
        <f t="shared" si="230"/>
        <v>230297</v>
      </c>
      <c r="AK723" s="133">
        <f t="shared" si="231"/>
        <v>0</v>
      </c>
      <c r="AL723" s="198"/>
      <c r="AM723" s="133" t="s">
        <v>886</v>
      </c>
      <c r="AN723" s="246">
        <v>44864</v>
      </c>
      <c r="AO723" s="100"/>
    </row>
    <row r="724" s="96" customFormat="1" customHeight="1" spans="1:41">
      <c r="A724" s="115" t="s">
        <v>6788</v>
      </c>
      <c r="B724" s="111" t="s">
        <v>6789</v>
      </c>
      <c r="C724" s="554" t="s">
        <v>6790</v>
      </c>
      <c r="D724" s="113" t="s">
        <v>6791</v>
      </c>
      <c r="E724" s="113">
        <v>13598098067</v>
      </c>
      <c r="F724" s="267">
        <v>4</v>
      </c>
      <c r="G724" s="268">
        <v>4295</v>
      </c>
      <c r="H724" s="274">
        <v>28.55</v>
      </c>
      <c r="I724" s="274" t="s">
        <v>2657</v>
      </c>
      <c r="J724" s="113" t="s">
        <v>6792</v>
      </c>
      <c r="K724" s="116">
        <v>27.03</v>
      </c>
      <c r="L724" s="266" t="s">
        <v>3514</v>
      </c>
      <c r="M724" s="266" t="s">
        <v>3733</v>
      </c>
      <c r="N724" s="113" t="s">
        <v>66</v>
      </c>
      <c r="O724" s="113"/>
      <c r="P724" s="113"/>
      <c r="Q724" s="113">
        <v>25529.37</v>
      </c>
      <c r="R724" s="113">
        <v>690059</v>
      </c>
      <c r="S724" s="121">
        <v>350059</v>
      </c>
      <c r="T724" s="292">
        <f t="shared" si="228"/>
        <v>340000</v>
      </c>
      <c r="U724" s="113"/>
      <c r="V724" s="113"/>
      <c r="W724" s="113"/>
      <c r="X724" s="113"/>
      <c r="Y724" s="113" t="s">
        <v>2669</v>
      </c>
      <c r="Z724" s="113"/>
      <c r="AA724" s="275"/>
      <c r="AB724" s="113"/>
      <c r="AC724" s="113"/>
      <c r="AD724" s="122"/>
      <c r="AE724" s="133"/>
      <c r="AF724" s="115"/>
      <c r="AG724" s="133"/>
      <c r="AH724" s="133"/>
      <c r="AI724" s="132">
        <f t="shared" si="229"/>
        <v>350059</v>
      </c>
      <c r="AJ724" s="132">
        <f t="shared" si="230"/>
        <v>350059</v>
      </c>
      <c r="AK724" s="133">
        <f t="shared" si="231"/>
        <v>0</v>
      </c>
      <c r="AL724" s="198"/>
      <c r="AM724" s="133" t="s">
        <v>886</v>
      </c>
      <c r="AN724" s="246">
        <v>44864</v>
      </c>
      <c r="AO724" s="100"/>
    </row>
    <row r="725" s="96" customFormat="1" customHeight="1" spans="1:41">
      <c r="A725" s="115" t="s">
        <v>6793</v>
      </c>
      <c r="B725" s="111" t="s">
        <v>6794</v>
      </c>
      <c r="C725" s="554" t="s">
        <v>6795</v>
      </c>
      <c r="D725" s="113" t="s">
        <v>6796</v>
      </c>
      <c r="E725" s="113">
        <v>15639718297</v>
      </c>
      <c r="F725" s="267">
        <v>4</v>
      </c>
      <c r="G725" s="268">
        <v>4530</v>
      </c>
      <c r="H725" s="274">
        <v>14.74</v>
      </c>
      <c r="I725" s="274" t="s">
        <v>2657</v>
      </c>
      <c r="J725" s="113" t="s">
        <v>6797</v>
      </c>
      <c r="K725" s="116">
        <v>10.92</v>
      </c>
      <c r="L725" s="266" t="s">
        <v>3408</v>
      </c>
      <c r="M725" s="266" t="s">
        <v>3577</v>
      </c>
      <c r="N725" s="113" t="s">
        <v>66</v>
      </c>
      <c r="O725" s="113"/>
      <c r="P725" s="113"/>
      <c r="Q725" s="113">
        <v>25666.39</v>
      </c>
      <c r="R725" s="113">
        <v>280277</v>
      </c>
      <c r="S725" s="121">
        <v>140277</v>
      </c>
      <c r="T725" s="292">
        <f t="shared" si="228"/>
        <v>140000</v>
      </c>
      <c r="U725" s="113"/>
      <c r="V725" s="113"/>
      <c r="W725" s="113"/>
      <c r="X725" s="113"/>
      <c r="Y725" s="113"/>
      <c r="Z725" s="113"/>
      <c r="AA725" s="275"/>
      <c r="AB725" s="113"/>
      <c r="AC725" s="113"/>
      <c r="AD725" s="122"/>
      <c r="AE725" s="133"/>
      <c r="AF725" s="115"/>
      <c r="AG725" s="133"/>
      <c r="AH725" s="133"/>
      <c r="AI725" s="132">
        <f t="shared" si="229"/>
        <v>140277</v>
      </c>
      <c r="AJ725" s="132">
        <f t="shared" si="230"/>
        <v>140277</v>
      </c>
      <c r="AK725" s="133">
        <f t="shared" si="231"/>
        <v>0</v>
      </c>
      <c r="AL725" s="198"/>
      <c r="AM725" s="133" t="s">
        <v>886</v>
      </c>
      <c r="AN725" s="246">
        <v>44864</v>
      </c>
      <c r="AO725" s="100"/>
    </row>
    <row r="726" s="96" customFormat="1" customHeight="1" spans="1:41">
      <c r="A726" s="115" t="s">
        <v>6798</v>
      </c>
      <c r="B726" s="111" t="s">
        <v>6799</v>
      </c>
      <c r="C726" s="554" t="s">
        <v>6800</v>
      </c>
      <c r="D726" s="113" t="s">
        <v>6801</v>
      </c>
      <c r="E726" s="113">
        <v>13673689239</v>
      </c>
      <c r="F726" s="267">
        <v>4</v>
      </c>
      <c r="G726" s="268">
        <v>4261</v>
      </c>
      <c r="H726" s="274">
        <v>17.34</v>
      </c>
      <c r="I726" s="274" t="s">
        <v>2657</v>
      </c>
      <c r="J726" s="113" t="s">
        <v>6802</v>
      </c>
      <c r="K726" s="116">
        <v>15.71</v>
      </c>
      <c r="L726" s="266" t="s">
        <v>6803</v>
      </c>
      <c r="M726" s="266" t="s">
        <v>3008</v>
      </c>
      <c r="N726" s="113" t="s">
        <v>56</v>
      </c>
      <c r="O726" s="113"/>
      <c r="P726" s="113"/>
      <c r="Q726" s="113">
        <v>26039.91</v>
      </c>
      <c r="R726" s="113">
        <v>409087</v>
      </c>
      <c r="S726" s="121">
        <v>409087</v>
      </c>
      <c r="T726" s="292">
        <f t="shared" si="228"/>
        <v>0</v>
      </c>
      <c r="U726" s="113"/>
      <c r="V726" s="113"/>
      <c r="W726" s="113"/>
      <c r="X726" s="113"/>
      <c r="Y726" s="113"/>
      <c r="Z726" s="113"/>
      <c r="AA726" s="275"/>
      <c r="AB726" s="113"/>
      <c r="AC726" s="113"/>
      <c r="AD726" s="122"/>
      <c r="AE726" s="133"/>
      <c r="AF726" s="115"/>
      <c r="AG726" s="133"/>
      <c r="AH726" s="133"/>
      <c r="AI726" s="132">
        <f t="shared" si="229"/>
        <v>409087</v>
      </c>
      <c r="AJ726" s="132">
        <f t="shared" si="230"/>
        <v>409087</v>
      </c>
      <c r="AK726" s="133">
        <f t="shared" si="231"/>
        <v>0</v>
      </c>
      <c r="AL726" s="198"/>
      <c r="AM726" s="133" t="s">
        <v>886</v>
      </c>
      <c r="AN726" s="246">
        <v>44864</v>
      </c>
      <c r="AO726" s="100"/>
    </row>
    <row r="727" s="96" customFormat="1" customHeight="1" spans="1:41">
      <c r="A727" s="115" t="s">
        <v>6804</v>
      </c>
      <c r="B727" s="111" t="s">
        <v>6805</v>
      </c>
      <c r="C727" s="111" t="s">
        <v>6806</v>
      </c>
      <c r="D727" s="113"/>
      <c r="E727" s="113">
        <v>13526762528</v>
      </c>
      <c r="F727" s="267">
        <v>3</v>
      </c>
      <c r="G727" s="268">
        <v>3524</v>
      </c>
      <c r="H727" s="274">
        <v>19.32</v>
      </c>
      <c r="I727" s="274" t="s">
        <v>2657</v>
      </c>
      <c r="J727" s="113" t="s">
        <v>6807</v>
      </c>
      <c r="K727" s="116">
        <v>18.69</v>
      </c>
      <c r="L727" s="266" t="s">
        <v>3108</v>
      </c>
      <c r="M727" s="266"/>
      <c r="N727" s="113" t="s">
        <v>66</v>
      </c>
      <c r="O727" s="113"/>
      <c r="P727" s="113"/>
      <c r="Q727" s="113"/>
      <c r="R727" s="113">
        <v>605467</v>
      </c>
      <c r="S727" s="121">
        <v>20000</v>
      </c>
      <c r="T727" s="292">
        <f t="shared" si="228"/>
        <v>585467</v>
      </c>
      <c r="U727" s="113"/>
      <c r="V727" s="113"/>
      <c r="W727" s="113"/>
      <c r="X727" s="113"/>
      <c r="Y727" s="113"/>
      <c r="Z727" s="113"/>
      <c r="AA727" s="275"/>
      <c r="AB727" s="113"/>
      <c r="AC727" s="113"/>
      <c r="AD727" s="122"/>
      <c r="AE727" s="133"/>
      <c r="AF727" s="115"/>
      <c r="AG727" s="133"/>
      <c r="AH727" s="133"/>
      <c r="AI727" s="132">
        <f t="shared" si="229"/>
        <v>20000</v>
      </c>
      <c r="AJ727" s="132">
        <f t="shared" si="230"/>
        <v>20000</v>
      </c>
      <c r="AK727" s="133">
        <f t="shared" si="231"/>
        <v>0</v>
      </c>
      <c r="AL727" s="198"/>
      <c r="AM727" s="133" t="s">
        <v>886</v>
      </c>
      <c r="AN727" s="246">
        <v>44864</v>
      </c>
      <c r="AO727" s="100"/>
    </row>
    <row r="728" s="93" customFormat="1" customHeight="1" spans="1:57">
      <c r="A728" s="115" t="s">
        <v>6808</v>
      </c>
      <c r="B728" s="111" t="s">
        <v>6809</v>
      </c>
      <c r="C728" s="554" t="s">
        <v>6810</v>
      </c>
      <c r="D728" s="113" t="s">
        <v>6811</v>
      </c>
      <c r="E728" s="113">
        <v>13503815516</v>
      </c>
      <c r="F728" s="267">
        <v>4</v>
      </c>
      <c r="G728" s="268">
        <v>4457</v>
      </c>
      <c r="H728" s="274">
        <v>12.98</v>
      </c>
      <c r="I728" s="274" t="s">
        <v>2657</v>
      </c>
      <c r="J728" s="113" t="s">
        <v>6812</v>
      </c>
      <c r="K728" s="116">
        <v>12.61</v>
      </c>
      <c r="L728" s="266" t="s">
        <v>2718</v>
      </c>
      <c r="M728" s="266" t="s">
        <v>3823</v>
      </c>
      <c r="N728" s="113" t="s">
        <v>66</v>
      </c>
      <c r="O728" s="113"/>
      <c r="P728" s="113"/>
      <c r="Q728" s="113">
        <v>28270.02</v>
      </c>
      <c r="R728" s="113">
        <v>356485</v>
      </c>
      <c r="S728" s="121">
        <v>186485</v>
      </c>
      <c r="T728" s="292">
        <f t="shared" si="228"/>
        <v>170000</v>
      </c>
      <c r="U728" s="113"/>
      <c r="V728" s="113"/>
      <c r="W728" s="113"/>
      <c r="X728" s="113"/>
      <c r="Y728" s="113"/>
      <c r="Z728" s="113"/>
      <c r="AA728" s="275"/>
      <c r="AB728" s="113"/>
      <c r="AC728" s="113"/>
      <c r="AD728" s="122"/>
      <c r="AE728" s="133"/>
      <c r="AF728" s="115"/>
      <c r="AG728" s="133"/>
      <c r="AH728" s="133"/>
      <c r="AI728" s="132">
        <f t="shared" si="229"/>
        <v>186485</v>
      </c>
      <c r="AJ728" s="132">
        <f t="shared" si="230"/>
        <v>186485</v>
      </c>
      <c r="AK728" s="133">
        <f t="shared" si="231"/>
        <v>0</v>
      </c>
      <c r="AL728" s="198"/>
      <c r="AM728" s="133" t="s">
        <v>886</v>
      </c>
      <c r="AN728" s="246">
        <v>44864</v>
      </c>
      <c r="AO728" s="100"/>
      <c r="AP728" s="96"/>
      <c r="AQ728" s="96"/>
      <c r="AR728" s="96"/>
      <c r="AS728" s="96"/>
      <c r="AT728" s="96"/>
      <c r="AU728" s="96"/>
      <c r="AV728" s="96"/>
      <c r="AW728" s="96"/>
      <c r="AX728" s="96"/>
      <c r="AY728" s="96"/>
      <c r="AZ728" s="96"/>
      <c r="BA728" s="96"/>
      <c r="BB728" s="96"/>
      <c r="BC728" s="96"/>
      <c r="BD728" s="96"/>
      <c r="BE728" s="96"/>
    </row>
    <row r="729" s="96" customFormat="1" customHeight="1" spans="1:41">
      <c r="A729" s="115" t="s">
        <v>6813</v>
      </c>
      <c r="B729" s="111" t="s">
        <v>6814</v>
      </c>
      <c r="C729" s="554" t="s">
        <v>6815</v>
      </c>
      <c r="D729" s="113" t="s">
        <v>6816</v>
      </c>
      <c r="E729" s="113">
        <v>18639556087</v>
      </c>
      <c r="F729" s="267">
        <v>1</v>
      </c>
      <c r="G729" s="268">
        <v>1630</v>
      </c>
      <c r="H729" s="274">
        <v>13.85</v>
      </c>
      <c r="I729" s="274" t="s">
        <v>2657</v>
      </c>
      <c r="J729" s="113" t="s">
        <v>6817</v>
      </c>
      <c r="K729" s="116">
        <v>12.13</v>
      </c>
      <c r="L729" s="266" t="s">
        <v>3858</v>
      </c>
      <c r="M729" s="266" t="s">
        <v>3858</v>
      </c>
      <c r="N729" s="113" t="s">
        <v>66</v>
      </c>
      <c r="O729" s="113"/>
      <c r="P729" s="113"/>
      <c r="Q729" s="113">
        <v>48212.78</v>
      </c>
      <c r="R729" s="113">
        <v>584821</v>
      </c>
      <c r="S729" s="121">
        <v>294821</v>
      </c>
      <c r="T729" s="292">
        <f t="shared" si="228"/>
        <v>290000</v>
      </c>
      <c r="U729" s="113"/>
      <c r="V729" s="113"/>
      <c r="W729" s="113"/>
      <c r="X729" s="113"/>
      <c r="Y729" s="113"/>
      <c r="Z729" s="113"/>
      <c r="AA729" s="275"/>
      <c r="AB729" s="113"/>
      <c r="AC729" s="113"/>
      <c r="AD729" s="122"/>
      <c r="AE729" s="133"/>
      <c r="AF729" s="115"/>
      <c r="AG729" s="133"/>
      <c r="AH729" s="133"/>
      <c r="AI729" s="132">
        <f t="shared" si="229"/>
        <v>294821</v>
      </c>
      <c r="AJ729" s="132">
        <f t="shared" si="230"/>
        <v>294821</v>
      </c>
      <c r="AK729" s="133">
        <f t="shared" si="231"/>
        <v>0</v>
      </c>
      <c r="AL729" s="198"/>
      <c r="AM729" s="133" t="s">
        <v>886</v>
      </c>
      <c r="AN729" s="246">
        <v>44864</v>
      </c>
      <c r="AO729" s="100"/>
    </row>
    <row r="730" s="96" customFormat="1" customHeight="1" spans="1:57">
      <c r="A730" s="115" t="s">
        <v>6818</v>
      </c>
      <c r="B730" s="111" t="s">
        <v>6819</v>
      </c>
      <c r="C730" s="554" t="s">
        <v>6820</v>
      </c>
      <c r="D730" s="113" t="s">
        <v>6821</v>
      </c>
      <c r="E730" s="113">
        <v>15093125593</v>
      </c>
      <c r="F730" s="267">
        <v>4</v>
      </c>
      <c r="G730" s="268">
        <v>4119</v>
      </c>
      <c r="H730" s="274">
        <v>27.7</v>
      </c>
      <c r="I730" s="274" t="s">
        <v>2657</v>
      </c>
      <c r="J730" s="113" t="s">
        <v>6822</v>
      </c>
      <c r="K730" s="116">
        <v>27.61</v>
      </c>
      <c r="L730" s="266" t="s">
        <v>3514</v>
      </c>
      <c r="M730" s="266" t="s">
        <v>3484</v>
      </c>
      <c r="N730" s="113" t="s">
        <v>66</v>
      </c>
      <c r="O730" s="113"/>
      <c r="P730" s="113"/>
      <c r="Q730" s="113">
        <v>25529.34</v>
      </c>
      <c r="R730" s="113">
        <v>707163</v>
      </c>
      <c r="S730" s="121">
        <v>357163</v>
      </c>
      <c r="T730" s="292">
        <f t="shared" si="228"/>
        <v>350000</v>
      </c>
      <c r="U730" s="113"/>
      <c r="V730" s="113">
        <v>1800</v>
      </c>
      <c r="W730" s="113">
        <v>550</v>
      </c>
      <c r="X730" s="113"/>
      <c r="Y730" s="113"/>
      <c r="Z730" s="113"/>
      <c r="AA730" s="275"/>
      <c r="AB730" s="113"/>
      <c r="AC730" s="113"/>
      <c r="AD730" s="122"/>
      <c r="AE730" s="133"/>
      <c r="AF730" s="115"/>
      <c r="AG730" s="133"/>
      <c r="AH730" s="133"/>
      <c r="AI730" s="132">
        <f t="shared" si="229"/>
        <v>359513</v>
      </c>
      <c r="AJ730" s="132">
        <f t="shared" si="230"/>
        <v>359513</v>
      </c>
      <c r="AK730" s="133">
        <f t="shared" si="231"/>
        <v>0</v>
      </c>
      <c r="AL730" s="198"/>
      <c r="AM730" s="133" t="s">
        <v>886</v>
      </c>
      <c r="AN730" s="246">
        <v>44864</v>
      </c>
      <c r="AO730" s="137"/>
      <c r="AP730" s="97"/>
      <c r="AQ730" s="97"/>
      <c r="AR730" s="97"/>
      <c r="AS730" s="97"/>
      <c r="AT730" s="97"/>
      <c r="AU730" s="97"/>
      <c r="AV730" s="97"/>
      <c r="AW730" s="97"/>
      <c r="AX730" s="97"/>
      <c r="AY730" s="97"/>
      <c r="AZ730" s="97"/>
      <c r="BA730" s="97"/>
      <c r="BB730" s="97"/>
      <c r="BC730" s="97"/>
      <c r="BD730" s="97"/>
      <c r="BE730" s="97"/>
    </row>
    <row r="731" s="96" customFormat="1" customHeight="1" spans="1:57">
      <c r="A731" s="115" t="s">
        <v>6823</v>
      </c>
      <c r="B731" s="111" t="s">
        <v>6824</v>
      </c>
      <c r="C731" s="554" t="s">
        <v>6825</v>
      </c>
      <c r="D731" s="113" t="s">
        <v>6826</v>
      </c>
      <c r="E731" s="113">
        <v>18339452713</v>
      </c>
      <c r="F731" s="267">
        <v>1</v>
      </c>
      <c r="G731" s="268">
        <v>1572</v>
      </c>
      <c r="H731" s="274">
        <v>16.61</v>
      </c>
      <c r="I731" s="274" t="s">
        <v>2657</v>
      </c>
      <c r="J731" s="113" t="s">
        <v>6827</v>
      </c>
      <c r="K731" s="116">
        <v>32.94</v>
      </c>
      <c r="L731" s="266" t="s">
        <v>6427</v>
      </c>
      <c r="M731" s="266" t="s">
        <v>6427</v>
      </c>
      <c r="N731" s="113" t="s">
        <v>66</v>
      </c>
      <c r="O731" s="113"/>
      <c r="P731" s="113"/>
      <c r="Q731" s="113">
        <v>47308.01</v>
      </c>
      <c r="R731" s="113">
        <v>1558326</v>
      </c>
      <c r="S731" s="121">
        <v>788326</v>
      </c>
      <c r="T731" s="292">
        <f t="shared" si="228"/>
        <v>770000</v>
      </c>
      <c r="U731" s="113"/>
      <c r="V731" s="113"/>
      <c r="W731" s="113"/>
      <c r="X731" s="113"/>
      <c r="Y731" s="113"/>
      <c r="Z731" s="113"/>
      <c r="AA731" s="113"/>
      <c r="AB731" s="113"/>
      <c r="AC731" s="113"/>
      <c r="AD731" s="113"/>
      <c r="AE731" s="133"/>
      <c r="AF731" s="115"/>
      <c r="AG731" s="133"/>
      <c r="AH731" s="133"/>
      <c r="AI731" s="132">
        <f t="shared" ref="AI731:AI742" si="232">S731+U731+V731+W731+X731+AC731+AD731+AE731</f>
        <v>788326</v>
      </c>
      <c r="AJ731" s="132">
        <f t="shared" ref="AJ731:AJ740" si="233">S731+U731+V731+W731+X731</f>
        <v>788326</v>
      </c>
      <c r="AK731" s="133">
        <f t="shared" ref="AK731:AK742" si="234">AI731-AJ731</f>
        <v>0</v>
      </c>
      <c r="AL731" s="132"/>
      <c r="AM731" s="133" t="s">
        <v>900</v>
      </c>
      <c r="AN731" s="246">
        <v>44865</v>
      </c>
      <c r="AO731" s="137"/>
      <c r="AP731" s="97"/>
      <c r="AQ731" s="97"/>
      <c r="AR731" s="97"/>
      <c r="AS731" s="97"/>
      <c r="AT731" s="97"/>
      <c r="AU731" s="97"/>
      <c r="AV731" s="97"/>
      <c r="AW731" s="97"/>
      <c r="AX731" s="97"/>
      <c r="AY731" s="97"/>
      <c r="AZ731" s="97"/>
      <c r="BA731" s="97"/>
      <c r="BB731" s="97"/>
      <c r="BC731" s="97"/>
      <c r="BD731" s="97"/>
      <c r="BE731" s="97"/>
    </row>
    <row r="732" s="96" customFormat="1" customHeight="1" spans="1:57">
      <c r="A732" s="115" t="s">
        <v>6828</v>
      </c>
      <c r="B732" s="111" t="s">
        <v>6829</v>
      </c>
      <c r="C732" s="554" t="s">
        <v>6830</v>
      </c>
      <c r="D732" s="113" t="s">
        <v>6831</v>
      </c>
      <c r="E732" s="113">
        <v>15639710109</v>
      </c>
      <c r="F732" s="267">
        <v>4</v>
      </c>
      <c r="G732" s="268">
        <v>4529</v>
      </c>
      <c r="H732" s="274">
        <v>14.58</v>
      </c>
      <c r="I732" s="274" t="s">
        <v>2657</v>
      </c>
      <c r="J732" s="113" t="s">
        <v>6832</v>
      </c>
      <c r="K732" s="113">
        <v>11.9</v>
      </c>
      <c r="L732" s="266" t="s">
        <v>3408</v>
      </c>
      <c r="M732" s="266" t="s">
        <v>3577</v>
      </c>
      <c r="N732" s="113" t="s">
        <v>56</v>
      </c>
      <c r="O732" s="113"/>
      <c r="P732" s="113"/>
      <c r="Q732" s="113">
        <v>24478.74</v>
      </c>
      <c r="R732" s="113">
        <v>291297</v>
      </c>
      <c r="S732" s="121">
        <v>291297</v>
      </c>
      <c r="T732" s="292">
        <f t="shared" si="228"/>
        <v>0</v>
      </c>
      <c r="U732" s="113"/>
      <c r="V732" s="113"/>
      <c r="W732" s="113"/>
      <c r="X732" s="113"/>
      <c r="Y732" s="113"/>
      <c r="Z732" s="113"/>
      <c r="AA732" s="113"/>
      <c r="AB732" s="113" t="s">
        <v>6833</v>
      </c>
      <c r="AC732" s="113"/>
      <c r="AD732" s="113"/>
      <c r="AE732" s="133"/>
      <c r="AF732" s="115"/>
      <c r="AG732" s="133"/>
      <c r="AH732" s="133"/>
      <c r="AI732" s="132">
        <f t="shared" si="232"/>
        <v>291297</v>
      </c>
      <c r="AJ732" s="132">
        <f t="shared" si="233"/>
        <v>291297</v>
      </c>
      <c r="AK732" s="133">
        <f t="shared" si="234"/>
        <v>0</v>
      </c>
      <c r="AL732" s="132"/>
      <c r="AM732" s="133" t="s">
        <v>900</v>
      </c>
      <c r="AN732" s="246">
        <v>44865</v>
      </c>
      <c r="AO732" s="137"/>
      <c r="AP732" s="97"/>
      <c r="AQ732" s="97"/>
      <c r="AR732" s="97"/>
      <c r="AS732" s="97"/>
      <c r="AT732" s="97"/>
      <c r="AU732" s="97"/>
      <c r="AV732" s="97"/>
      <c r="AW732" s="97"/>
      <c r="AX732" s="97"/>
      <c r="AY732" s="97"/>
      <c r="AZ732" s="97"/>
      <c r="BA732" s="97"/>
      <c r="BB732" s="97"/>
      <c r="BC732" s="97"/>
      <c r="BD732" s="97"/>
      <c r="BE732" s="97"/>
    </row>
    <row r="733" s="96" customFormat="1" customHeight="1" spans="1:57">
      <c r="A733" s="115" t="s">
        <v>6834</v>
      </c>
      <c r="B733" s="111" t="s">
        <v>6835</v>
      </c>
      <c r="C733" s="554" t="s">
        <v>6836</v>
      </c>
      <c r="D733" s="113" t="s">
        <v>6837</v>
      </c>
      <c r="E733" s="113" t="s">
        <v>6838</v>
      </c>
      <c r="F733" s="267">
        <v>1</v>
      </c>
      <c r="G733" s="268">
        <v>162</v>
      </c>
      <c r="H733" s="274">
        <v>29.06</v>
      </c>
      <c r="I733" s="274" t="s">
        <v>2657</v>
      </c>
      <c r="J733" s="113" t="s">
        <v>6839</v>
      </c>
      <c r="K733" s="116">
        <v>17.3</v>
      </c>
      <c r="L733" s="266" t="s">
        <v>3355</v>
      </c>
      <c r="M733" s="266" t="s">
        <v>3733</v>
      </c>
      <c r="N733" s="113" t="s">
        <v>66</v>
      </c>
      <c r="O733" s="113"/>
      <c r="P733" s="113"/>
      <c r="Q733" s="113">
        <v>47744.68</v>
      </c>
      <c r="R733" s="113">
        <v>825983</v>
      </c>
      <c r="S733" s="121">
        <v>415983</v>
      </c>
      <c r="T733" s="292">
        <f t="shared" si="228"/>
        <v>410000</v>
      </c>
      <c r="U733" s="113"/>
      <c r="V733" s="113"/>
      <c r="W733" s="113"/>
      <c r="X733" s="113"/>
      <c r="Y733" s="113"/>
      <c r="Z733" s="113"/>
      <c r="AA733" s="113"/>
      <c r="AB733" s="113"/>
      <c r="AC733" s="113"/>
      <c r="AD733" s="113"/>
      <c r="AE733" s="133"/>
      <c r="AF733" s="115"/>
      <c r="AG733" s="133"/>
      <c r="AH733" s="133"/>
      <c r="AI733" s="132">
        <f t="shared" si="232"/>
        <v>415983</v>
      </c>
      <c r="AJ733" s="132">
        <f t="shared" si="233"/>
        <v>415983</v>
      </c>
      <c r="AK733" s="133">
        <f t="shared" si="234"/>
        <v>0</v>
      </c>
      <c r="AL733" s="132"/>
      <c r="AM733" s="133" t="s">
        <v>900</v>
      </c>
      <c r="AN733" s="246">
        <v>44865</v>
      </c>
      <c r="AO733" s="137"/>
      <c r="AP733" s="97"/>
      <c r="AQ733" s="97"/>
      <c r="AR733" s="97"/>
      <c r="AS733" s="97"/>
      <c r="AT733" s="97"/>
      <c r="AU733" s="97"/>
      <c r="AV733" s="97"/>
      <c r="AW733" s="97"/>
      <c r="AX733" s="97"/>
      <c r="AY733" s="97"/>
      <c r="AZ733" s="97"/>
      <c r="BA733" s="97"/>
      <c r="BB733" s="97"/>
      <c r="BC733" s="97"/>
      <c r="BD733" s="97"/>
      <c r="BE733" s="97"/>
    </row>
    <row r="734" s="96" customFormat="1" customHeight="1" spans="1:57">
      <c r="A734" s="115" t="s">
        <v>6840</v>
      </c>
      <c r="B734" s="111" t="s">
        <v>6841</v>
      </c>
      <c r="C734" s="111" t="s">
        <v>6842</v>
      </c>
      <c r="D734" s="113" t="s">
        <v>6843</v>
      </c>
      <c r="E734" s="113" t="s">
        <v>6844</v>
      </c>
      <c r="F734" s="267">
        <v>3</v>
      </c>
      <c r="G734" s="268">
        <v>3714</v>
      </c>
      <c r="H734" s="274">
        <v>16.1</v>
      </c>
      <c r="I734" s="274" t="s">
        <v>2657</v>
      </c>
      <c r="J734" s="113" t="s">
        <v>6845</v>
      </c>
      <c r="K734" s="116">
        <v>15.62</v>
      </c>
      <c r="L734" s="266" t="s">
        <v>2891</v>
      </c>
      <c r="M734" s="266" t="s">
        <v>2685</v>
      </c>
      <c r="N734" s="113" t="s">
        <v>56</v>
      </c>
      <c r="O734" s="113"/>
      <c r="P734" s="113"/>
      <c r="Q734" s="113">
        <v>31016.71</v>
      </c>
      <c r="R734" s="113">
        <v>499369</v>
      </c>
      <c r="S734" s="121">
        <v>499369</v>
      </c>
      <c r="T734" s="292">
        <f t="shared" si="228"/>
        <v>0</v>
      </c>
      <c r="U734" s="113"/>
      <c r="V734" s="113">
        <v>1046</v>
      </c>
      <c r="W734" s="113">
        <v>550</v>
      </c>
      <c r="X734" s="113"/>
      <c r="Y734" s="113" t="s">
        <v>2669</v>
      </c>
      <c r="Z734" s="113" t="s">
        <v>48</v>
      </c>
      <c r="AA734" s="113">
        <v>44024</v>
      </c>
      <c r="AB734" s="113"/>
      <c r="AC734" s="113"/>
      <c r="AD734" s="113"/>
      <c r="AE734" s="133"/>
      <c r="AF734" s="115"/>
      <c r="AG734" s="133"/>
      <c r="AH734" s="133"/>
      <c r="AI734" s="132">
        <f t="shared" si="232"/>
        <v>500965</v>
      </c>
      <c r="AJ734" s="132">
        <f t="shared" si="233"/>
        <v>500965</v>
      </c>
      <c r="AK734" s="133">
        <f t="shared" si="234"/>
        <v>0</v>
      </c>
      <c r="AL734" s="106"/>
      <c r="AM734" s="133" t="s">
        <v>900</v>
      </c>
      <c r="AN734" s="246">
        <v>44865</v>
      </c>
      <c r="AO734" s="137"/>
      <c r="AP734" s="97"/>
      <c r="AQ734" s="97"/>
      <c r="AR734" s="97"/>
      <c r="AS734" s="97"/>
      <c r="AT734" s="97"/>
      <c r="AU734" s="97"/>
      <c r="AV734" s="97"/>
      <c r="AW734" s="97"/>
      <c r="AX734" s="97"/>
      <c r="AY734" s="97"/>
      <c r="AZ734" s="97"/>
      <c r="BA734" s="97"/>
      <c r="BB734" s="97"/>
      <c r="BC734" s="97"/>
      <c r="BD734" s="97"/>
      <c r="BE734" s="97"/>
    </row>
    <row r="735" s="96" customFormat="1" customHeight="1" spans="1:57">
      <c r="A735" s="115" t="s">
        <v>6846</v>
      </c>
      <c r="B735" s="111" t="s">
        <v>6847</v>
      </c>
      <c r="C735" s="111" t="s">
        <v>6848</v>
      </c>
      <c r="D735" s="121" t="s">
        <v>6849</v>
      </c>
      <c r="E735" s="113">
        <v>13526607110</v>
      </c>
      <c r="F735" s="267">
        <v>3</v>
      </c>
      <c r="G735" s="268">
        <v>3882</v>
      </c>
      <c r="H735" s="274">
        <v>22.61</v>
      </c>
      <c r="I735" s="274" t="s">
        <v>2657</v>
      </c>
      <c r="J735" s="113" t="s">
        <v>6850</v>
      </c>
      <c r="K735" s="113">
        <v>21.3</v>
      </c>
      <c r="L735" s="266" t="s">
        <v>4389</v>
      </c>
      <c r="M735" s="266" t="s">
        <v>3432</v>
      </c>
      <c r="N735" s="113" t="s">
        <v>66</v>
      </c>
      <c r="O735" s="113"/>
      <c r="P735" s="113"/>
      <c r="Q735" s="113">
        <v>31549.3</v>
      </c>
      <c r="R735" s="113">
        <v>672000</v>
      </c>
      <c r="S735" s="121">
        <v>342000</v>
      </c>
      <c r="T735" s="292">
        <f t="shared" si="228"/>
        <v>330000</v>
      </c>
      <c r="U735" s="113"/>
      <c r="V735" s="113"/>
      <c r="W735" s="113"/>
      <c r="X735" s="113"/>
      <c r="Y735" s="113"/>
      <c r="Z735" s="113"/>
      <c r="AA735" s="113"/>
      <c r="AB735" s="113"/>
      <c r="AC735" s="113"/>
      <c r="AD735" s="113"/>
      <c r="AE735" s="133"/>
      <c r="AF735" s="115"/>
      <c r="AG735" s="133"/>
      <c r="AH735" s="133"/>
      <c r="AI735" s="132">
        <f t="shared" si="232"/>
        <v>342000</v>
      </c>
      <c r="AJ735" s="132">
        <f t="shared" si="233"/>
        <v>342000</v>
      </c>
      <c r="AK735" s="133">
        <f t="shared" si="234"/>
        <v>0</v>
      </c>
      <c r="AL735" s="132"/>
      <c r="AM735" s="133" t="s">
        <v>900</v>
      </c>
      <c r="AN735" s="246">
        <v>44865</v>
      </c>
      <c r="AO735" s="137"/>
      <c r="AP735" s="97"/>
      <c r="AQ735" s="97"/>
      <c r="AR735" s="97"/>
      <c r="AS735" s="97"/>
      <c r="AT735" s="97"/>
      <c r="AU735" s="97"/>
      <c r="AV735" s="97"/>
      <c r="AW735" s="97"/>
      <c r="AX735" s="97"/>
      <c r="AY735" s="97"/>
      <c r="AZ735" s="97"/>
      <c r="BA735" s="97"/>
      <c r="BB735" s="97"/>
      <c r="BC735" s="97"/>
      <c r="BD735" s="97"/>
      <c r="BE735" s="97"/>
    </row>
    <row r="736" s="96" customFormat="1" customHeight="1" spans="1:57">
      <c r="A736" s="115" t="s">
        <v>6851</v>
      </c>
      <c r="B736" s="111" t="s">
        <v>6852</v>
      </c>
      <c r="C736" s="554" t="s">
        <v>6853</v>
      </c>
      <c r="D736" s="121" t="s">
        <v>6854</v>
      </c>
      <c r="E736" s="113">
        <v>13838061090</v>
      </c>
      <c r="F736" s="267">
        <v>3</v>
      </c>
      <c r="G736" s="268">
        <v>3311</v>
      </c>
      <c r="H736" s="274">
        <v>20.19</v>
      </c>
      <c r="I736" s="274" t="s">
        <v>2657</v>
      </c>
      <c r="J736" s="113" t="s">
        <v>6855</v>
      </c>
      <c r="K736" s="116">
        <v>17.78</v>
      </c>
      <c r="L736" s="266" t="s">
        <v>4670</v>
      </c>
      <c r="M736" s="266" t="s">
        <v>5567</v>
      </c>
      <c r="N736" s="113" t="s">
        <v>66</v>
      </c>
      <c r="O736" s="113"/>
      <c r="P736" s="113"/>
      <c r="Q736" s="113">
        <v>31830.88</v>
      </c>
      <c r="R736" s="113">
        <v>565953</v>
      </c>
      <c r="S736" s="121">
        <v>285953</v>
      </c>
      <c r="T736" s="292">
        <f t="shared" si="228"/>
        <v>280000</v>
      </c>
      <c r="U736" s="113"/>
      <c r="V736" s="113"/>
      <c r="W736" s="113"/>
      <c r="X736" s="113"/>
      <c r="Y736" s="113"/>
      <c r="Z736" s="113"/>
      <c r="AA736" s="113"/>
      <c r="AB736" s="113"/>
      <c r="AC736" s="113"/>
      <c r="AD736" s="113"/>
      <c r="AE736" s="133"/>
      <c r="AF736" s="115"/>
      <c r="AG736" s="133"/>
      <c r="AH736" s="133"/>
      <c r="AI736" s="132">
        <f t="shared" si="232"/>
        <v>285953</v>
      </c>
      <c r="AJ736" s="132">
        <f t="shared" si="233"/>
        <v>285953</v>
      </c>
      <c r="AK736" s="133">
        <f t="shared" si="234"/>
        <v>0</v>
      </c>
      <c r="AL736" s="132"/>
      <c r="AM736" s="133" t="s">
        <v>900</v>
      </c>
      <c r="AN736" s="246">
        <v>44866</v>
      </c>
      <c r="AO736" s="137"/>
      <c r="AP736" s="97"/>
      <c r="AQ736" s="97"/>
      <c r="AR736" s="97"/>
      <c r="AS736" s="97"/>
      <c r="AT736" s="97"/>
      <c r="AU736" s="97"/>
      <c r="AV736" s="97"/>
      <c r="AW736" s="97"/>
      <c r="AX736" s="97"/>
      <c r="AY736" s="97"/>
      <c r="AZ736" s="97"/>
      <c r="BA736" s="97"/>
      <c r="BB736" s="97"/>
      <c r="BC736" s="97"/>
      <c r="BD736" s="97"/>
      <c r="BE736" s="97"/>
    </row>
    <row r="737" s="96" customFormat="1" customHeight="1" spans="1:57">
      <c r="A737" s="106" t="s">
        <v>6856</v>
      </c>
      <c r="B737" s="111" t="s">
        <v>1035</v>
      </c>
      <c r="C737" s="111" t="s">
        <v>6857</v>
      </c>
      <c r="D737" s="121" t="s">
        <v>6858</v>
      </c>
      <c r="E737" s="113">
        <v>15738025999</v>
      </c>
      <c r="F737" s="267">
        <v>3</v>
      </c>
      <c r="G737" s="268">
        <v>3695</v>
      </c>
      <c r="H737" s="274">
        <v>22.54</v>
      </c>
      <c r="I737" s="274" t="s">
        <v>2657</v>
      </c>
      <c r="J737" s="113" t="s">
        <v>6859</v>
      </c>
      <c r="K737" s="113">
        <v>21.12</v>
      </c>
      <c r="L737" s="266" t="s">
        <v>2868</v>
      </c>
      <c r="M737" s="266" t="s">
        <v>3818</v>
      </c>
      <c r="N737" s="113" t="s">
        <v>56</v>
      </c>
      <c r="O737" s="113"/>
      <c r="P737" s="113"/>
      <c r="Q737" s="113">
        <v>30762.45</v>
      </c>
      <c r="R737" s="113">
        <v>693386</v>
      </c>
      <c r="S737" s="121">
        <v>693386</v>
      </c>
      <c r="T737" s="292">
        <f t="shared" si="228"/>
        <v>0</v>
      </c>
      <c r="U737" s="113"/>
      <c r="V737" s="113">
        <v>1465</v>
      </c>
      <c r="W737" s="113">
        <v>550</v>
      </c>
      <c r="X737" s="113"/>
      <c r="Y737" s="113" t="s">
        <v>2669</v>
      </c>
      <c r="Z737" s="113" t="s">
        <v>48</v>
      </c>
      <c r="AA737" s="304">
        <v>44052</v>
      </c>
      <c r="AB737" s="113"/>
      <c r="AC737" s="321"/>
      <c r="AD737" s="115"/>
      <c r="AE737" s="115"/>
      <c r="AF737" s="115"/>
      <c r="AG737" s="115"/>
      <c r="AH737" s="115"/>
      <c r="AI737" s="132">
        <f t="shared" si="232"/>
        <v>695401</v>
      </c>
      <c r="AJ737" s="132">
        <f t="shared" si="233"/>
        <v>695401</v>
      </c>
      <c r="AK737" s="133">
        <f t="shared" si="234"/>
        <v>0</v>
      </c>
      <c r="AL737" s="155"/>
      <c r="AM737" s="115" t="s">
        <v>974</v>
      </c>
      <c r="AN737" s="246">
        <v>44886</v>
      </c>
      <c r="AO737" s="137"/>
      <c r="AP737" s="97"/>
      <c r="AQ737" s="97"/>
      <c r="AR737" s="97"/>
      <c r="AS737" s="97"/>
      <c r="AT737" s="97"/>
      <c r="AU737" s="97"/>
      <c r="AV737" s="97"/>
      <c r="AW737" s="97"/>
      <c r="AX737" s="97"/>
      <c r="AY737" s="97"/>
      <c r="AZ737" s="97"/>
      <c r="BA737" s="97"/>
      <c r="BB737" s="97"/>
      <c r="BC737" s="97"/>
      <c r="BD737" s="97"/>
      <c r="BE737" s="97"/>
    </row>
    <row r="738" s="96" customFormat="1" customHeight="1" spans="1:57">
      <c r="A738" s="106" t="s">
        <v>6860</v>
      </c>
      <c r="B738" s="111" t="s">
        <v>6861</v>
      </c>
      <c r="C738" s="111" t="s">
        <v>6862</v>
      </c>
      <c r="D738" s="121" t="s">
        <v>6863</v>
      </c>
      <c r="E738" s="113">
        <v>15038077727</v>
      </c>
      <c r="F738" s="267">
        <v>3</v>
      </c>
      <c r="G738" s="268">
        <v>3880</v>
      </c>
      <c r="H738" s="274">
        <v>20.61</v>
      </c>
      <c r="I738" s="274" t="s">
        <v>2657</v>
      </c>
      <c r="J738" s="113" t="s">
        <v>6864</v>
      </c>
      <c r="K738" s="113">
        <v>18.56</v>
      </c>
      <c r="L738" s="266" t="s">
        <v>6865</v>
      </c>
      <c r="M738" s="266" t="s">
        <v>6865</v>
      </c>
      <c r="N738" s="113" t="s">
        <v>66</v>
      </c>
      <c r="O738" s="113"/>
      <c r="P738" s="113"/>
      <c r="Q738" s="113">
        <v>31907.7</v>
      </c>
      <c r="R738" s="113">
        <v>592207</v>
      </c>
      <c r="S738" s="121">
        <v>302207</v>
      </c>
      <c r="T738" s="292">
        <f t="shared" si="228"/>
        <v>290000</v>
      </c>
      <c r="U738" s="113"/>
      <c r="V738" s="113"/>
      <c r="W738" s="113"/>
      <c r="X738" s="113"/>
      <c r="Y738" s="113"/>
      <c r="Z738" s="113"/>
      <c r="AA738" s="113"/>
      <c r="AB738" s="113"/>
      <c r="AC738" s="246"/>
      <c r="AD738" s="115"/>
      <c r="AE738" s="115"/>
      <c r="AF738" s="115"/>
      <c r="AG738" s="115"/>
      <c r="AH738" s="115"/>
      <c r="AI738" s="132">
        <f t="shared" si="232"/>
        <v>302207</v>
      </c>
      <c r="AJ738" s="132">
        <f t="shared" si="233"/>
        <v>302207</v>
      </c>
      <c r="AK738" s="133">
        <f t="shared" si="234"/>
        <v>0</v>
      </c>
      <c r="AL738" s="115"/>
      <c r="AM738" s="115" t="s">
        <v>974</v>
      </c>
      <c r="AN738" s="246">
        <v>44886</v>
      </c>
      <c r="AO738" s="137"/>
      <c r="AP738" s="97"/>
      <c r="AQ738" s="97"/>
      <c r="AR738" s="97"/>
      <c r="AS738" s="97"/>
      <c r="AT738" s="97"/>
      <c r="AU738" s="97"/>
      <c r="AV738" s="97"/>
      <c r="AW738" s="97"/>
      <c r="AX738" s="97"/>
      <c r="AY738" s="97"/>
      <c r="AZ738" s="97"/>
      <c r="BA738" s="97"/>
      <c r="BB738" s="97"/>
      <c r="BC738" s="97"/>
      <c r="BD738" s="97"/>
      <c r="BE738" s="97"/>
    </row>
    <row r="739" s="96" customFormat="1" customHeight="1" spans="1:57">
      <c r="A739" s="106" t="s">
        <v>6866</v>
      </c>
      <c r="B739" s="111" t="s">
        <v>6867</v>
      </c>
      <c r="C739" s="111" t="s">
        <v>6868</v>
      </c>
      <c r="D739" s="121" t="s">
        <v>6863</v>
      </c>
      <c r="E739" s="113">
        <v>18838110589</v>
      </c>
      <c r="F739" s="267">
        <v>3</v>
      </c>
      <c r="G739" s="268">
        <v>3484</v>
      </c>
      <c r="H739" s="274">
        <v>19.65</v>
      </c>
      <c r="I739" s="274" t="s">
        <v>2657</v>
      </c>
      <c r="J739" s="113" t="s">
        <v>6869</v>
      </c>
      <c r="K739" s="113">
        <v>18.93</v>
      </c>
      <c r="L739" s="266" t="s">
        <v>2842</v>
      </c>
      <c r="M739" s="266" t="s">
        <v>3151</v>
      </c>
      <c r="N739" s="113" t="s">
        <v>66</v>
      </c>
      <c r="O739" s="113"/>
      <c r="P739" s="113"/>
      <c r="Q739" s="113">
        <v>31695.72</v>
      </c>
      <c r="R739" s="113">
        <v>600000</v>
      </c>
      <c r="S739" s="121">
        <v>300000</v>
      </c>
      <c r="T739" s="292">
        <f t="shared" si="228"/>
        <v>300000</v>
      </c>
      <c r="U739" s="113"/>
      <c r="V739" s="113"/>
      <c r="W739" s="113"/>
      <c r="X739" s="113"/>
      <c r="Y739" s="113"/>
      <c r="Z739" s="113"/>
      <c r="AA739" s="113"/>
      <c r="AB739" s="113" t="s">
        <v>6870</v>
      </c>
      <c r="AC739" s="246"/>
      <c r="AD739" s="115"/>
      <c r="AE739" s="115"/>
      <c r="AF739" s="115"/>
      <c r="AG739" s="115"/>
      <c r="AH739" s="115"/>
      <c r="AI739" s="132">
        <f t="shared" si="232"/>
        <v>300000</v>
      </c>
      <c r="AJ739" s="132">
        <f t="shared" si="233"/>
        <v>300000</v>
      </c>
      <c r="AK739" s="133">
        <f t="shared" si="234"/>
        <v>0</v>
      </c>
      <c r="AL739" s="115"/>
      <c r="AM739" s="115" t="s">
        <v>974</v>
      </c>
      <c r="AN739" s="246">
        <v>44886</v>
      </c>
      <c r="AO739" s="137"/>
      <c r="AP739" s="97"/>
      <c r="AQ739" s="97"/>
      <c r="AR739" s="97"/>
      <c r="AS739" s="97"/>
      <c r="AT739" s="97"/>
      <c r="AU739" s="97"/>
      <c r="AV739" s="97"/>
      <c r="AW739" s="97"/>
      <c r="AX739" s="97"/>
      <c r="AY739" s="97"/>
      <c r="AZ739" s="97"/>
      <c r="BA739" s="97"/>
      <c r="BB739" s="97"/>
      <c r="BC739" s="97"/>
      <c r="BD739" s="97"/>
      <c r="BE739" s="97"/>
    </row>
    <row r="740" s="96" customFormat="1" customHeight="1" spans="1:57">
      <c r="A740" s="115" t="s">
        <v>6871</v>
      </c>
      <c r="B740" s="336" t="s">
        <v>6872</v>
      </c>
      <c r="C740" s="336" t="s">
        <v>6873</v>
      </c>
      <c r="D740" s="266" t="s">
        <v>6874</v>
      </c>
      <c r="E740" s="266" t="s">
        <v>6875</v>
      </c>
      <c r="F740" s="267">
        <v>3</v>
      </c>
      <c r="G740" s="268">
        <v>3124</v>
      </c>
      <c r="H740" s="274">
        <v>37.35</v>
      </c>
      <c r="I740" s="274" t="s">
        <v>2665</v>
      </c>
      <c r="J740" s="113" t="s">
        <v>6876</v>
      </c>
      <c r="K740" s="116">
        <v>31.53</v>
      </c>
      <c r="L740" s="266" t="s">
        <v>6877</v>
      </c>
      <c r="M740" s="266" t="s">
        <v>6877</v>
      </c>
      <c r="N740" s="266" t="s">
        <v>56</v>
      </c>
      <c r="O740" s="266"/>
      <c r="P740" s="266"/>
      <c r="Q740" s="116">
        <v>25372.66</v>
      </c>
      <c r="R740" s="121">
        <v>800000</v>
      </c>
      <c r="S740" s="121">
        <v>800000</v>
      </c>
      <c r="T740" s="292">
        <f t="shared" si="228"/>
        <v>0</v>
      </c>
      <c r="U740" s="113"/>
      <c r="V740" s="113"/>
      <c r="W740" s="113"/>
      <c r="X740" s="113"/>
      <c r="Y740" s="113"/>
      <c r="Z740" s="113"/>
      <c r="AA740" s="113"/>
      <c r="AB740" s="266"/>
      <c r="AC740" s="113"/>
      <c r="AD740" s="113"/>
      <c r="AE740" s="133"/>
      <c r="AF740" s="115"/>
      <c r="AG740" s="133"/>
      <c r="AH740" s="133"/>
      <c r="AI740" s="132">
        <f t="shared" si="232"/>
        <v>800000</v>
      </c>
      <c r="AJ740" s="132">
        <f t="shared" si="233"/>
        <v>800000</v>
      </c>
      <c r="AK740" s="133">
        <f t="shared" si="234"/>
        <v>0</v>
      </c>
      <c r="AL740" s="132"/>
      <c r="AM740" s="133" t="s">
        <v>900</v>
      </c>
      <c r="AN740" s="246">
        <v>44866</v>
      </c>
      <c r="AO740" s="137"/>
      <c r="AP740" s="97"/>
      <c r="AQ740" s="97"/>
      <c r="AR740" s="97"/>
      <c r="AS740" s="97"/>
      <c r="AT740" s="97"/>
      <c r="AU740" s="97"/>
      <c r="AV740" s="97"/>
      <c r="AW740" s="97"/>
      <c r="AX740" s="97"/>
      <c r="AY740" s="97"/>
      <c r="AZ740" s="97"/>
      <c r="BA740" s="97"/>
      <c r="BB740" s="97"/>
      <c r="BC740" s="97"/>
      <c r="BD740" s="97"/>
      <c r="BE740" s="97"/>
    </row>
    <row r="741" s="96" customFormat="1" customHeight="1" spans="1:57">
      <c r="A741" s="337" t="s">
        <v>6878</v>
      </c>
      <c r="B741" s="296" t="s">
        <v>6879</v>
      </c>
      <c r="C741" s="556" t="s">
        <v>6880</v>
      </c>
      <c r="D741" s="267" t="s">
        <v>6881</v>
      </c>
      <c r="E741" s="267" t="s">
        <v>6882</v>
      </c>
      <c r="F741" s="267">
        <v>1</v>
      </c>
      <c r="G741" s="268">
        <v>138</v>
      </c>
      <c r="H741" s="274">
        <v>19.2</v>
      </c>
      <c r="I741" s="274" t="s">
        <v>2665</v>
      </c>
      <c r="J741" s="267" t="s">
        <v>6883</v>
      </c>
      <c r="K741" s="326">
        <v>20.88</v>
      </c>
      <c r="L741" s="268" t="s">
        <v>6884</v>
      </c>
      <c r="M741" s="268" t="s">
        <v>4257</v>
      </c>
      <c r="N741" s="267" t="s">
        <v>56</v>
      </c>
      <c r="O741" s="267"/>
      <c r="P741" s="267"/>
      <c r="Q741" s="274">
        <v>44227.01</v>
      </c>
      <c r="R741" s="267">
        <v>849159</v>
      </c>
      <c r="S741" s="292">
        <v>849159</v>
      </c>
      <c r="T741" s="292">
        <f t="shared" si="228"/>
        <v>0</v>
      </c>
      <c r="U741" s="267"/>
      <c r="V741" s="267">
        <v>1248</v>
      </c>
      <c r="W741" s="267">
        <v>550</v>
      </c>
      <c r="X741" s="267">
        <v>72503</v>
      </c>
      <c r="Y741" s="267" t="s">
        <v>2669</v>
      </c>
      <c r="Z741" s="267" t="s">
        <v>48</v>
      </c>
      <c r="AA741" s="305">
        <v>44019</v>
      </c>
      <c r="AB741" s="267"/>
      <c r="AC741" s="113"/>
      <c r="AD741" s="113"/>
      <c r="AE741" s="133"/>
      <c r="AF741" s="115"/>
      <c r="AG741" s="133"/>
      <c r="AH741" s="133"/>
      <c r="AI741" s="132">
        <f t="shared" si="232"/>
        <v>923460</v>
      </c>
      <c r="AJ741" s="341"/>
      <c r="AK741" s="133">
        <f t="shared" si="234"/>
        <v>923460</v>
      </c>
      <c r="AL741" s="342" t="s">
        <v>6885</v>
      </c>
      <c r="AM741" s="133" t="s">
        <v>900</v>
      </c>
      <c r="AN741" s="246">
        <v>44866</v>
      </c>
      <c r="AO741" s="137"/>
      <c r="AP741" s="97"/>
      <c r="AQ741" s="97"/>
      <c r="AR741" s="97"/>
      <c r="AS741" s="97"/>
      <c r="AT741" s="97"/>
      <c r="AU741" s="97"/>
      <c r="AV741" s="97"/>
      <c r="AW741" s="97"/>
      <c r="AX741" s="97"/>
      <c r="AY741" s="97"/>
      <c r="AZ741" s="97"/>
      <c r="BA741" s="97"/>
      <c r="BB741" s="97"/>
      <c r="BC741" s="97"/>
      <c r="BD741" s="97"/>
      <c r="BE741" s="97"/>
    </row>
    <row r="742" s="96" customFormat="1" customHeight="1" spans="1:57">
      <c r="A742" s="115" t="s">
        <v>6886</v>
      </c>
      <c r="B742" s="111" t="s">
        <v>6887</v>
      </c>
      <c r="C742" s="554" t="s">
        <v>6888</v>
      </c>
      <c r="D742" s="113" t="s">
        <v>6889</v>
      </c>
      <c r="E742" s="113">
        <v>13937104150</v>
      </c>
      <c r="F742" s="267">
        <v>1</v>
      </c>
      <c r="G742" s="268">
        <v>141</v>
      </c>
      <c r="H742" s="274">
        <v>20.27</v>
      </c>
      <c r="I742" s="274" t="s">
        <v>2657</v>
      </c>
      <c r="J742" s="113" t="s">
        <v>6890</v>
      </c>
      <c r="K742" s="116">
        <v>20.69</v>
      </c>
      <c r="L742" s="266" t="s">
        <v>2659</v>
      </c>
      <c r="M742" s="266" t="s">
        <v>4312</v>
      </c>
      <c r="N742" s="113" t="s">
        <v>56</v>
      </c>
      <c r="O742" s="113"/>
      <c r="P742" s="113"/>
      <c r="Q742" s="113">
        <v>48226.99</v>
      </c>
      <c r="R742" s="113">
        <v>977561</v>
      </c>
      <c r="S742" s="121">
        <v>977561</v>
      </c>
      <c r="T742" s="292">
        <f t="shared" si="228"/>
        <v>0</v>
      </c>
      <c r="U742" s="113"/>
      <c r="V742" s="113">
        <v>1317</v>
      </c>
      <c r="W742" s="113">
        <v>550</v>
      </c>
      <c r="X742" s="113"/>
      <c r="Y742" s="113" t="s">
        <v>2669</v>
      </c>
      <c r="Z742" s="113" t="s">
        <v>48</v>
      </c>
      <c r="AA742" s="305">
        <v>44023</v>
      </c>
      <c r="AB742" s="113"/>
      <c r="AC742" s="113"/>
      <c r="AD742" s="113"/>
      <c r="AE742" s="133"/>
      <c r="AF742" s="115"/>
      <c r="AG742" s="133"/>
      <c r="AH742" s="133"/>
      <c r="AI742" s="132">
        <f t="shared" si="232"/>
        <v>979428</v>
      </c>
      <c r="AJ742" s="132">
        <f>S742+U742+V742+W742+X742</f>
        <v>979428</v>
      </c>
      <c r="AK742" s="133">
        <f t="shared" si="234"/>
        <v>0</v>
      </c>
      <c r="AL742" s="132"/>
      <c r="AM742" s="133" t="s">
        <v>900</v>
      </c>
      <c r="AN742" s="246">
        <v>44866</v>
      </c>
      <c r="AO742" s="137"/>
      <c r="AP742" s="97"/>
      <c r="AQ742" s="97"/>
      <c r="AR742" s="97"/>
      <c r="AS742" s="97"/>
      <c r="AT742" s="97"/>
      <c r="AU742" s="97"/>
      <c r="AV742" s="97"/>
      <c r="AW742" s="97"/>
      <c r="AX742" s="97"/>
      <c r="AY742" s="97"/>
      <c r="AZ742" s="97"/>
      <c r="BA742" s="97"/>
      <c r="BB742" s="97"/>
      <c r="BC742" s="97"/>
      <c r="BD742" s="97"/>
      <c r="BE742" s="97"/>
    </row>
    <row r="743" s="96" customFormat="1" customHeight="1" spans="1:57">
      <c r="A743" s="115" t="s">
        <v>6891</v>
      </c>
      <c r="B743" s="111" t="s">
        <v>6892</v>
      </c>
      <c r="C743" s="554" t="s">
        <v>6893</v>
      </c>
      <c r="D743" s="113"/>
      <c r="E743" s="113" t="s">
        <v>6894</v>
      </c>
      <c r="F743" s="267">
        <v>4</v>
      </c>
      <c r="G743" s="268">
        <v>457</v>
      </c>
      <c r="H743" s="274">
        <v>20.09</v>
      </c>
      <c r="I743" s="274" t="s">
        <v>2657</v>
      </c>
      <c r="J743" s="113" t="s">
        <v>6895</v>
      </c>
      <c r="K743" s="113">
        <v>14.14</v>
      </c>
      <c r="L743" s="266" t="s">
        <v>3739</v>
      </c>
      <c r="M743" s="266" t="s">
        <v>4334</v>
      </c>
      <c r="N743" s="113" t="s">
        <v>66</v>
      </c>
      <c r="O743" s="113"/>
      <c r="P743" s="113"/>
      <c r="Q743" s="113">
        <v>26297.88</v>
      </c>
      <c r="R743" s="113">
        <v>371852</v>
      </c>
      <c r="S743" s="121">
        <v>191852</v>
      </c>
      <c r="T743" s="292">
        <f t="shared" si="228"/>
        <v>180000</v>
      </c>
      <c r="U743" s="113"/>
      <c r="V743" s="113"/>
      <c r="W743" s="113"/>
      <c r="X743" s="113"/>
      <c r="Y743" s="113"/>
      <c r="Z743" s="113"/>
      <c r="AA743" s="113"/>
      <c r="AB743" s="113"/>
      <c r="AC743" s="113"/>
      <c r="AD743" s="113"/>
      <c r="AE743" s="133"/>
      <c r="AF743" s="115"/>
      <c r="AG743" s="133"/>
      <c r="AH743" s="133"/>
      <c r="AI743" s="132">
        <f t="shared" ref="AI743:AI752" si="235">S743+U743+V743+W743+X743+AC743+AD743+AE743</f>
        <v>191852</v>
      </c>
      <c r="AJ743" s="132">
        <f t="shared" ref="AJ743:AJ752" si="236">S743+U743+V743+W743+X743</f>
        <v>191852</v>
      </c>
      <c r="AK743" s="133">
        <f t="shared" ref="AK743:AK752" si="237">AI743-AJ743</f>
        <v>0</v>
      </c>
      <c r="AL743" s="132"/>
      <c r="AM743" s="133" t="s">
        <v>900</v>
      </c>
      <c r="AN743" s="246">
        <v>44866</v>
      </c>
      <c r="AO743" s="137"/>
      <c r="AP743" s="97"/>
      <c r="AQ743" s="97"/>
      <c r="AR743" s="97"/>
      <c r="AS743" s="97"/>
      <c r="AT743" s="97"/>
      <c r="AU743" s="97"/>
      <c r="AV743" s="97"/>
      <c r="AW743" s="97"/>
      <c r="AX743" s="97"/>
      <c r="AY743" s="97"/>
      <c r="AZ743" s="97"/>
      <c r="BA743" s="97"/>
      <c r="BB743" s="97"/>
      <c r="BC743" s="97"/>
      <c r="BD743" s="97"/>
      <c r="BE743" s="97"/>
    </row>
    <row r="744" s="96" customFormat="1" customHeight="1" spans="1:57">
      <c r="A744" s="115" t="s">
        <v>6896</v>
      </c>
      <c r="B744" s="111" t="s">
        <v>6897</v>
      </c>
      <c r="C744" s="554" t="s">
        <v>6898</v>
      </c>
      <c r="D744" s="113" t="s">
        <v>6899</v>
      </c>
      <c r="E744" s="113">
        <v>13526727718</v>
      </c>
      <c r="F744" s="267">
        <v>1</v>
      </c>
      <c r="G744" s="268">
        <v>156</v>
      </c>
      <c r="H744" s="274">
        <v>26.78</v>
      </c>
      <c r="I744" s="274" t="s">
        <v>2657</v>
      </c>
      <c r="J744" s="113" t="s">
        <v>6900</v>
      </c>
      <c r="K744" s="116">
        <v>30.94</v>
      </c>
      <c r="L744" s="266" t="s">
        <v>2897</v>
      </c>
      <c r="M744" s="266" t="s">
        <v>3433</v>
      </c>
      <c r="N744" s="113" t="s">
        <v>66</v>
      </c>
      <c r="O744" s="113"/>
      <c r="P744" s="113"/>
      <c r="Q744" s="113">
        <v>46585.52</v>
      </c>
      <c r="R744" s="113">
        <v>1441356</v>
      </c>
      <c r="S744" s="121">
        <v>721356</v>
      </c>
      <c r="T744" s="292">
        <f t="shared" si="228"/>
        <v>720000</v>
      </c>
      <c r="U744" s="113"/>
      <c r="V744" s="113"/>
      <c r="W744" s="113"/>
      <c r="X744" s="113"/>
      <c r="Y744" s="113"/>
      <c r="Z744" s="113"/>
      <c r="AA744" s="113"/>
      <c r="AB744" s="113"/>
      <c r="AC744" s="113"/>
      <c r="AD744" s="113"/>
      <c r="AE744" s="133"/>
      <c r="AF744" s="115"/>
      <c r="AG744" s="133"/>
      <c r="AH744" s="133"/>
      <c r="AI744" s="132">
        <f t="shared" si="235"/>
        <v>721356</v>
      </c>
      <c r="AJ744" s="132">
        <f t="shared" si="236"/>
        <v>721356</v>
      </c>
      <c r="AK744" s="133">
        <f t="shared" si="237"/>
        <v>0</v>
      </c>
      <c r="AL744" s="132"/>
      <c r="AM744" s="133" t="s">
        <v>900</v>
      </c>
      <c r="AN744" s="246">
        <v>44866</v>
      </c>
      <c r="AO744" s="137"/>
      <c r="AP744" s="97"/>
      <c r="AQ744" s="97"/>
      <c r="AR744" s="97"/>
      <c r="AS744" s="97"/>
      <c r="AT744" s="97"/>
      <c r="AU744" s="97"/>
      <c r="AV744" s="97"/>
      <c r="AW744" s="97"/>
      <c r="AX744" s="97"/>
      <c r="AY744" s="97"/>
      <c r="AZ744" s="97"/>
      <c r="BA744" s="97"/>
      <c r="BB744" s="97"/>
      <c r="BC744" s="97"/>
      <c r="BD744" s="97"/>
      <c r="BE744" s="97"/>
    </row>
    <row r="745" s="96" customFormat="1" customHeight="1" spans="1:57">
      <c r="A745" s="115" t="s">
        <v>6901</v>
      </c>
      <c r="B745" s="111" t="s">
        <v>6902</v>
      </c>
      <c r="C745" s="111" t="s">
        <v>6903</v>
      </c>
      <c r="D745" s="121" t="s">
        <v>6904</v>
      </c>
      <c r="E745" s="113">
        <v>13598819110</v>
      </c>
      <c r="F745" s="267">
        <v>4</v>
      </c>
      <c r="G745" s="268">
        <v>4405</v>
      </c>
      <c r="H745" s="274">
        <v>10.41</v>
      </c>
      <c r="I745" s="274" t="s">
        <v>2657</v>
      </c>
      <c r="J745" s="113" t="s">
        <v>6905</v>
      </c>
      <c r="K745" s="116">
        <v>15.78</v>
      </c>
      <c r="L745" s="266" t="s">
        <v>5453</v>
      </c>
      <c r="M745" s="266" t="s">
        <v>2814</v>
      </c>
      <c r="N745" s="113" t="s">
        <v>66</v>
      </c>
      <c r="O745" s="113"/>
      <c r="P745" s="113"/>
      <c r="Q745" s="113">
        <v>27745.15</v>
      </c>
      <c r="R745" s="113">
        <v>288827</v>
      </c>
      <c r="S745" s="121">
        <v>268827</v>
      </c>
      <c r="T745" s="292">
        <f t="shared" si="228"/>
        <v>20000</v>
      </c>
      <c r="U745" s="113"/>
      <c r="V745" s="113">
        <v>676</v>
      </c>
      <c r="W745" s="113">
        <v>550</v>
      </c>
      <c r="X745" s="113"/>
      <c r="Y745" s="113" t="s">
        <v>2669</v>
      </c>
      <c r="Z745" s="113"/>
      <c r="AA745" s="113"/>
      <c r="AB745" s="113"/>
      <c r="AC745" s="113"/>
      <c r="AD745" s="113"/>
      <c r="AE745" s="133"/>
      <c r="AF745" s="115"/>
      <c r="AG745" s="133"/>
      <c r="AH745" s="133"/>
      <c r="AI745" s="132">
        <f t="shared" si="235"/>
        <v>270053</v>
      </c>
      <c r="AJ745" s="132">
        <f t="shared" si="236"/>
        <v>270053</v>
      </c>
      <c r="AK745" s="133">
        <f t="shared" si="237"/>
        <v>0</v>
      </c>
      <c r="AL745" s="132"/>
      <c r="AM745" s="133" t="s">
        <v>900</v>
      </c>
      <c r="AN745" s="246">
        <v>44866</v>
      </c>
      <c r="AO745" s="137"/>
      <c r="AP745" s="97"/>
      <c r="AQ745" s="97"/>
      <c r="AR745" s="97"/>
      <c r="AS745" s="97"/>
      <c r="AT745" s="97"/>
      <c r="AU745" s="97"/>
      <c r="AV745" s="97"/>
      <c r="AW745" s="97"/>
      <c r="AX745" s="97"/>
      <c r="AY745" s="97"/>
      <c r="AZ745" s="97"/>
      <c r="BA745" s="97"/>
      <c r="BB745" s="97"/>
      <c r="BC745" s="97"/>
      <c r="BD745" s="97"/>
      <c r="BE745" s="97"/>
    </row>
    <row r="746" s="96" customFormat="1" customHeight="1" spans="1:57">
      <c r="A746" s="115" t="s">
        <v>6906</v>
      </c>
      <c r="B746" s="111" t="s">
        <v>6907</v>
      </c>
      <c r="C746" s="111" t="s">
        <v>6908</v>
      </c>
      <c r="D746" s="121" t="s">
        <v>6909</v>
      </c>
      <c r="E746" s="113">
        <v>15038230258</v>
      </c>
      <c r="F746" s="267">
        <v>3</v>
      </c>
      <c r="G746" s="268">
        <v>3417</v>
      </c>
      <c r="H746" s="274">
        <v>23.18</v>
      </c>
      <c r="I746" s="274" t="s">
        <v>2657</v>
      </c>
      <c r="J746" s="113" t="s">
        <v>6910</v>
      </c>
      <c r="K746" s="113">
        <v>19.66</v>
      </c>
      <c r="L746" s="266" t="s">
        <v>2920</v>
      </c>
      <c r="M746" s="266" t="s">
        <v>2904</v>
      </c>
      <c r="N746" s="113" t="s">
        <v>66</v>
      </c>
      <c r="O746" s="113"/>
      <c r="P746" s="113"/>
      <c r="Q746" s="113">
        <v>30818.31</v>
      </c>
      <c r="R746" s="113">
        <v>605888</v>
      </c>
      <c r="S746" s="121">
        <v>305888</v>
      </c>
      <c r="T746" s="292">
        <f t="shared" si="228"/>
        <v>300000</v>
      </c>
      <c r="U746" s="113"/>
      <c r="V746" s="113"/>
      <c r="W746" s="113"/>
      <c r="X746" s="113"/>
      <c r="Y746" s="113"/>
      <c r="Z746" s="113"/>
      <c r="AA746" s="113"/>
      <c r="AB746" s="113"/>
      <c r="AC746" s="113"/>
      <c r="AD746" s="113"/>
      <c r="AE746" s="133"/>
      <c r="AF746" s="115"/>
      <c r="AG746" s="133"/>
      <c r="AH746" s="133"/>
      <c r="AI746" s="132">
        <f t="shared" si="235"/>
        <v>305888</v>
      </c>
      <c r="AJ746" s="132">
        <f t="shared" si="236"/>
        <v>305888</v>
      </c>
      <c r="AK746" s="133">
        <f t="shared" si="237"/>
        <v>0</v>
      </c>
      <c r="AL746" s="132"/>
      <c r="AM746" s="133" t="s">
        <v>900</v>
      </c>
      <c r="AN746" s="246">
        <v>44866</v>
      </c>
      <c r="AO746" s="137"/>
      <c r="AP746" s="97"/>
      <c r="AQ746" s="97"/>
      <c r="AR746" s="97"/>
      <c r="AS746" s="97"/>
      <c r="AT746" s="97"/>
      <c r="AU746" s="97"/>
      <c r="AV746" s="97"/>
      <c r="AW746" s="97"/>
      <c r="AX746" s="97"/>
      <c r="AY746" s="97"/>
      <c r="AZ746" s="97"/>
      <c r="BA746" s="97"/>
      <c r="BB746" s="97"/>
      <c r="BC746" s="97"/>
      <c r="BD746" s="97"/>
      <c r="BE746" s="97"/>
    </row>
    <row r="747" s="96" customFormat="1" customHeight="1" spans="1:57">
      <c r="A747" s="115" t="s">
        <v>6911</v>
      </c>
      <c r="B747" s="111" t="s">
        <v>6907</v>
      </c>
      <c r="C747" s="111" t="s">
        <v>6908</v>
      </c>
      <c r="D747" s="121" t="s">
        <v>6909</v>
      </c>
      <c r="E747" s="113">
        <v>15038230258</v>
      </c>
      <c r="F747" s="267">
        <v>3</v>
      </c>
      <c r="G747" s="268">
        <v>3847</v>
      </c>
      <c r="H747" s="274">
        <v>30.6</v>
      </c>
      <c r="I747" s="274" t="s">
        <v>2657</v>
      </c>
      <c r="J747" s="113" t="s">
        <v>6912</v>
      </c>
      <c r="K747" s="113">
        <v>27.5</v>
      </c>
      <c r="L747" s="266" t="s">
        <v>3551</v>
      </c>
      <c r="M747" s="266" t="s">
        <v>3055</v>
      </c>
      <c r="N747" s="113" t="s">
        <v>66</v>
      </c>
      <c r="O747" s="113"/>
      <c r="P747" s="113"/>
      <c r="Q747" s="113">
        <v>31948.18</v>
      </c>
      <c r="R747" s="113">
        <v>878575</v>
      </c>
      <c r="S747" s="121">
        <v>578575</v>
      </c>
      <c r="T747" s="292">
        <f t="shared" si="228"/>
        <v>300000</v>
      </c>
      <c r="U747" s="113"/>
      <c r="V747" s="113"/>
      <c r="W747" s="113"/>
      <c r="X747" s="113"/>
      <c r="Y747" s="113"/>
      <c r="Z747" s="113"/>
      <c r="AA747" s="113"/>
      <c r="AB747" s="113"/>
      <c r="AC747" s="246"/>
      <c r="AD747" s="113"/>
      <c r="AE747" s="133"/>
      <c r="AF747" s="115"/>
      <c r="AG747" s="133"/>
      <c r="AH747" s="133"/>
      <c r="AI747" s="132">
        <f t="shared" si="235"/>
        <v>578575</v>
      </c>
      <c r="AJ747" s="132">
        <f t="shared" si="236"/>
        <v>578575</v>
      </c>
      <c r="AK747" s="133">
        <f t="shared" si="237"/>
        <v>0</v>
      </c>
      <c r="AL747" s="132"/>
      <c r="AM747" s="133" t="s">
        <v>900</v>
      </c>
      <c r="AN747" s="246">
        <v>44866</v>
      </c>
      <c r="AO747" s="137"/>
      <c r="AP747" s="97"/>
      <c r="AQ747" s="97"/>
      <c r="AR747" s="97"/>
      <c r="AS747" s="97"/>
      <c r="AT747" s="97"/>
      <c r="AU747" s="97"/>
      <c r="AV747" s="97"/>
      <c r="AW747" s="97"/>
      <c r="AX747" s="97"/>
      <c r="AY747" s="97"/>
      <c r="AZ747" s="97"/>
      <c r="BA747" s="97"/>
      <c r="BB747" s="97"/>
      <c r="BC747" s="97"/>
      <c r="BD747" s="97"/>
      <c r="BE747" s="97"/>
    </row>
    <row r="748" s="96" customFormat="1" customHeight="1" spans="1:57">
      <c r="A748" s="115" t="s">
        <v>6913</v>
      </c>
      <c r="B748" s="111" t="s">
        <v>6914</v>
      </c>
      <c r="C748" s="111" t="s">
        <v>6915</v>
      </c>
      <c r="D748" s="121" t="s">
        <v>6916</v>
      </c>
      <c r="E748" s="113">
        <v>18235566298</v>
      </c>
      <c r="F748" s="267">
        <v>3</v>
      </c>
      <c r="G748" s="268">
        <v>3631</v>
      </c>
      <c r="H748" s="274">
        <v>20.12</v>
      </c>
      <c r="I748" s="274" t="s">
        <v>2657</v>
      </c>
      <c r="J748" s="113" t="s">
        <v>6917</v>
      </c>
      <c r="K748" s="113">
        <v>19.82</v>
      </c>
      <c r="L748" s="266" t="s">
        <v>3911</v>
      </c>
      <c r="M748" s="266" t="s">
        <v>3332</v>
      </c>
      <c r="N748" s="113" t="s">
        <v>66</v>
      </c>
      <c r="O748" s="113"/>
      <c r="P748" s="113"/>
      <c r="Q748" s="113">
        <v>31468.06</v>
      </c>
      <c r="R748" s="113">
        <v>633137</v>
      </c>
      <c r="S748" s="121">
        <v>323137</v>
      </c>
      <c r="T748" s="121" t="s">
        <v>47</v>
      </c>
      <c r="U748" s="121">
        <v>310000</v>
      </c>
      <c r="V748" s="113">
        <v>1307</v>
      </c>
      <c r="W748" s="113">
        <v>550</v>
      </c>
      <c r="X748" s="113"/>
      <c r="Y748" s="113" t="s">
        <v>2669</v>
      </c>
      <c r="Z748" s="113" t="s">
        <v>48</v>
      </c>
      <c r="AA748" s="304">
        <v>44050</v>
      </c>
      <c r="AB748" s="113"/>
      <c r="AC748" s="113">
        <v>1251</v>
      </c>
      <c r="AD748" s="113"/>
      <c r="AE748" s="133"/>
      <c r="AF748" s="115"/>
      <c r="AG748" s="133"/>
      <c r="AH748" s="133"/>
      <c r="AI748" s="132">
        <f t="shared" si="235"/>
        <v>636245</v>
      </c>
      <c r="AJ748" s="132">
        <f t="shared" si="236"/>
        <v>634994</v>
      </c>
      <c r="AK748" s="133">
        <f t="shared" si="237"/>
        <v>1251</v>
      </c>
      <c r="AL748" s="132"/>
      <c r="AM748" s="133" t="s">
        <v>900</v>
      </c>
      <c r="AN748" s="246">
        <v>44866</v>
      </c>
      <c r="AO748" s="137"/>
      <c r="AP748" s="97"/>
      <c r="AQ748" s="97"/>
      <c r="AR748" s="97"/>
      <c r="AS748" s="97"/>
      <c r="AT748" s="97"/>
      <c r="AU748" s="97"/>
      <c r="AV748" s="97"/>
      <c r="AW748" s="97"/>
      <c r="AX748" s="97"/>
      <c r="AY748" s="97"/>
      <c r="AZ748" s="97"/>
      <c r="BA748" s="97"/>
      <c r="BB748" s="97"/>
      <c r="BC748" s="97"/>
      <c r="BD748" s="97"/>
      <c r="BE748" s="97"/>
    </row>
    <row r="749" s="96" customFormat="1" customHeight="1" spans="1:57">
      <c r="A749" s="115" t="s">
        <v>6918</v>
      </c>
      <c r="B749" s="111" t="s">
        <v>6919</v>
      </c>
      <c r="C749" s="554" t="s">
        <v>6920</v>
      </c>
      <c r="D749" s="113" t="s">
        <v>6921</v>
      </c>
      <c r="E749" s="113">
        <v>15238696699</v>
      </c>
      <c r="F749" s="267">
        <v>4</v>
      </c>
      <c r="G749" s="268">
        <v>482</v>
      </c>
      <c r="H749" s="274">
        <v>14.56</v>
      </c>
      <c r="I749" s="274" t="s">
        <v>2657</v>
      </c>
      <c r="J749" s="113" t="s">
        <v>6922</v>
      </c>
      <c r="K749" s="113">
        <v>13.64</v>
      </c>
      <c r="L749" s="266" t="s">
        <v>3326</v>
      </c>
      <c r="M749" s="266" t="s">
        <v>6803</v>
      </c>
      <c r="N749" s="113" t="s">
        <v>56</v>
      </c>
      <c r="O749" s="113"/>
      <c r="P749" s="113"/>
      <c r="Q749" s="113">
        <v>25500.95</v>
      </c>
      <c r="R749" s="113">
        <v>347833</v>
      </c>
      <c r="S749" s="121">
        <v>347833</v>
      </c>
      <c r="T749" s="292">
        <f>R749-S749</f>
        <v>0</v>
      </c>
      <c r="U749" s="113"/>
      <c r="V749" s="113"/>
      <c r="W749" s="113"/>
      <c r="X749" s="113"/>
      <c r="Y749" s="113"/>
      <c r="Z749" s="113"/>
      <c r="AA749" s="113"/>
      <c r="AB749" s="113"/>
      <c r="AC749" s="113"/>
      <c r="AD749" s="113"/>
      <c r="AE749" s="133"/>
      <c r="AF749" s="115"/>
      <c r="AG749" s="133"/>
      <c r="AH749" s="133"/>
      <c r="AI749" s="132">
        <f t="shared" si="235"/>
        <v>347833</v>
      </c>
      <c r="AJ749" s="132">
        <f t="shared" si="236"/>
        <v>347833</v>
      </c>
      <c r="AK749" s="133">
        <f t="shared" si="237"/>
        <v>0</v>
      </c>
      <c r="AL749" s="132"/>
      <c r="AM749" s="133" t="s">
        <v>900</v>
      </c>
      <c r="AN749" s="246">
        <v>44866</v>
      </c>
      <c r="AO749" s="137"/>
      <c r="AP749" s="97"/>
      <c r="AQ749" s="97"/>
      <c r="AR749" s="97"/>
      <c r="AS749" s="97"/>
      <c r="AT749" s="97"/>
      <c r="AU749" s="97"/>
      <c r="AV749" s="97"/>
      <c r="AW749" s="97"/>
      <c r="AX749" s="97"/>
      <c r="AY749" s="97"/>
      <c r="AZ749" s="97"/>
      <c r="BA749" s="97"/>
      <c r="BB749" s="97"/>
      <c r="BC749" s="97"/>
      <c r="BD749" s="97"/>
      <c r="BE749" s="97"/>
    </row>
    <row r="750" s="96" customFormat="1" customHeight="1" spans="1:57">
      <c r="A750" s="115" t="s">
        <v>6923</v>
      </c>
      <c r="B750" s="111" t="s">
        <v>6924</v>
      </c>
      <c r="C750" s="554" t="s">
        <v>6925</v>
      </c>
      <c r="D750" s="113" t="s">
        <v>6926</v>
      </c>
      <c r="E750" s="113">
        <v>13949106497</v>
      </c>
      <c r="F750" s="267">
        <v>1</v>
      </c>
      <c r="G750" s="268">
        <v>1585</v>
      </c>
      <c r="H750" s="274">
        <v>20.92</v>
      </c>
      <c r="I750" s="274" t="s">
        <v>2657</v>
      </c>
      <c r="J750" s="113" t="s">
        <v>6927</v>
      </c>
      <c r="K750" s="116">
        <v>20.66</v>
      </c>
      <c r="L750" s="266" t="s">
        <v>2954</v>
      </c>
      <c r="M750" s="266" t="s">
        <v>6928</v>
      </c>
      <c r="N750" s="113" t="s">
        <v>66</v>
      </c>
      <c r="O750" s="113"/>
      <c r="P750" s="113"/>
      <c r="Q750" s="113">
        <v>48145.84</v>
      </c>
      <c r="R750" s="113">
        <v>1007211</v>
      </c>
      <c r="S750" s="121">
        <v>507211</v>
      </c>
      <c r="T750" s="121" t="s">
        <v>47</v>
      </c>
      <c r="U750" s="121">
        <v>500000</v>
      </c>
      <c r="V750" s="113">
        <v>1359</v>
      </c>
      <c r="W750" s="113">
        <v>550</v>
      </c>
      <c r="X750" s="113"/>
      <c r="Y750" s="113" t="s">
        <v>2669</v>
      </c>
      <c r="Z750" s="113" t="s">
        <v>48</v>
      </c>
      <c r="AA750" s="304">
        <v>44066</v>
      </c>
      <c r="AB750" s="113"/>
      <c r="AC750" s="113"/>
      <c r="AD750" s="113"/>
      <c r="AE750" s="133"/>
      <c r="AF750" s="115"/>
      <c r="AG750" s="133"/>
      <c r="AH750" s="133"/>
      <c r="AI750" s="132">
        <f t="shared" si="235"/>
        <v>1009120</v>
      </c>
      <c r="AJ750" s="132">
        <f t="shared" si="236"/>
        <v>1009120</v>
      </c>
      <c r="AK750" s="133">
        <f t="shared" si="237"/>
        <v>0</v>
      </c>
      <c r="AL750" s="132"/>
      <c r="AM750" s="133" t="s">
        <v>900</v>
      </c>
      <c r="AN750" s="246">
        <v>44866</v>
      </c>
      <c r="AO750" s="137"/>
      <c r="AP750" s="97"/>
      <c r="AQ750" s="97"/>
      <c r="AR750" s="97"/>
      <c r="AS750" s="97"/>
      <c r="AT750" s="97"/>
      <c r="AU750" s="97"/>
      <c r="AV750" s="97"/>
      <c r="AW750" s="97"/>
      <c r="AX750" s="97"/>
      <c r="AY750" s="97"/>
      <c r="AZ750" s="97"/>
      <c r="BA750" s="97"/>
      <c r="BB750" s="97"/>
      <c r="BC750" s="97"/>
      <c r="BD750" s="97"/>
      <c r="BE750" s="97"/>
    </row>
    <row r="751" s="96" customFormat="1" customHeight="1" spans="1:57">
      <c r="A751" s="115" t="s">
        <v>6929</v>
      </c>
      <c r="B751" s="336" t="s">
        <v>6930</v>
      </c>
      <c r="C751" s="338" t="s">
        <v>6931</v>
      </c>
      <c r="D751" s="266" t="s">
        <v>6932</v>
      </c>
      <c r="E751" s="266" t="s">
        <v>6933</v>
      </c>
      <c r="F751" s="267">
        <v>4</v>
      </c>
      <c r="G751" s="268">
        <v>4129</v>
      </c>
      <c r="H751" s="274">
        <v>24.88</v>
      </c>
      <c r="I751" s="274" t="s">
        <v>2665</v>
      </c>
      <c r="J751" s="113" t="s">
        <v>6934</v>
      </c>
      <c r="K751" s="116">
        <v>30.08</v>
      </c>
      <c r="L751" s="266" t="s">
        <v>3865</v>
      </c>
      <c r="M751" s="266" t="s">
        <v>3145</v>
      </c>
      <c r="N751" s="266" t="s">
        <v>56</v>
      </c>
      <c r="O751" s="266"/>
      <c r="P751" s="266"/>
      <c r="Q751" s="116">
        <v>25044.85</v>
      </c>
      <c r="R751" s="121">
        <v>623116</v>
      </c>
      <c r="S751" s="121">
        <v>623116</v>
      </c>
      <c r="T751" s="292">
        <f>R751-S751</f>
        <v>0</v>
      </c>
      <c r="U751" s="113"/>
      <c r="V751" s="113">
        <v>1617</v>
      </c>
      <c r="W751" s="113">
        <v>550</v>
      </c>
      <c r="X751" s="113">
        <v>128066</v>
      </c>
      <c r="Y751" s="113" t="s">
        <v>2669</v>
      </c>
      <c r="Z751" s="113" t="s">
        <v>48</v>
      </c>
      <c r="AA751" s="304">
        <v>44019</v>
      </c>
      <c r="AB751" s="266" t="s">
        <v>5667</v>
      </c>
      <c r="AC751" s="113"/>
      <c r="AD751" s="113"/>
      <c r="AE751" s="133"/>
      <c r="AF751" s="115"/>
      <c r="AG751" s="133"/>
      <c r="AH751" s="133"/>
      <c r="AI751" s="132">
        <f t="shared" si="235"/>
        <v>753349</v>
      </c>
      <c r="AJ751" s="132">
        <f t="shared" si="236"/>
        <v>753349</v>
      </c>
      <c r="AK751" s="133">
        <f t="shared" si="237"/>
        <v>0</v>
      </c>
      <c r="AL751" s="132"/>
      <c r="AM751" s="133" t="s">
        <v>900</v>
      </c>
      <c r="AN751" s="246">
        <v>44866</v>
      </c>
      <c r="AO751" s="137"/>
      <c r="AP751" s="97"/>
      <c r="AQ751" s="97"/>
      <c r="AR751" s="97"/>
      <c r="AS751" s="97"/>
      <c r="AT751" s="97"/>
      <c r="AU751" s="97"/>
      <c r="AV751" s="97"/>
      <c r="AW751" s="97"/>
      <c r="AX751" s="97"/>
      <c r="AY751" s="97"/>
      <c r="AZ751" s="97"/>
      <c r="BA751" s="97"/>
      <c r="BB751" s="97"/>
      <c r="BC751" s="97"/>
      <c r="BD751" s="97"/>
      <c r="BE751" s="97"/>
    </row>
    <row r="752" s="96" customFormat="1" customHeight="1" spans="1:57">
      <c r="A752" s="115" t="s">
        <v>6935</v>
      </c>
      <c r="B752" s="336" t="s">
        <v>584</v>
      </c>
      <c r="C752" s="338" t="s">
        <v>6936</v>
      </c>
      <c r="D752" s="266" t="s">
        <v>6937</v>
      </c>
      <c r="E752" s="266" t="s">
        <v>6938</v>
      </c>
      <c r="F752" s="267">
        <v>4</v>
      </c>
      <c r="G752" s="268">
        <v>4128</v>
      </c>
      <c r="H752" s="274">
        <v>27.08</v>
      </c>
      <c r="I752" s="274" t="s">
        <v>2665</v>
      </c>
      <c r="J752" s="113" t="s">
        <v>6939</v>
      </c>
      <c r="K752" s="116">
        <v>31.53</v>
      </c>
      <c r="L752" s="266" t="s">
        <v>3865</v>
      </c>
      <c r="M752" s="266" t="s">
        <v>3145</v>
      </c>
      <c r="N752" s="266" t="s">
        <v>56</v>
      </c>
      <c r="O752" s="266"/>
      <c r="P752" s="266"/>
      <c r="Q752" s="116">
        <v>25042.32</v>
      </c>
      <c r="R752" s="121">
        <v>678146</v>
      </c>
      <c r="S752" s="121">
        <v>678146</v>
      </c>
      <c r="T752" s="292">
        <f>R752-S752</f>
        <v>0</v>
      </c>
      <c r="U752" s="113"/>
      <c r="V752" s="113">
        <v>1760</v>
      </c>
      <c r="W752" s="113">
        <v>550</v>
      </c>
      <c r="X752" s="113">
        <v>109128</v>
      </c>
      <c r="Y752" s="113" t="s">
        <v>2669</v>
      </c>
      <c r="Z752" s="113" t="s">
        <v>48</v>
      </c>
      <c r="AA752" s="304">
        <v>44019</v>
      </c>
      <c r="AB752" s="266" t="s">
        <v>5667</v>
      </c>
      <c r="AC752" s="113"/>
      <c r="AD752" s="113"/>
      <c r="AE752" s="133"/>
      <c r="AF752" s="115"/>
      <c r="AG752" s="133"/>
      <c r="AH752" s="133"/>
      <c r="AI752" s="132">
        <f t="shared" si="235"/>
        <v>789584</v>
      </c>
      <c r="AJ752" s="132">
        <f t="shared" si="236"/>
        <v>789584</v>
      </c>
      <c r="AK752" s="133">
        <f t="shared" si="237"/>
        <v>0</v>
      </c>
      <c r="AL752" s="132"/>
      <c r="AM752" s="133" t="s">
        <v>900</v>
      </c>
      <c r="AN752" s="246">
        <v>44866</v>
      </c>
      <c r="AO752" s="137"/>
      <c r="AP752" s="97"/>
      <c r="AQ752" s="97"/>
      <c r="AR752" s="97"/>
      <c r="AS752" s="97"/>
      <c r="AT752" s="97"/>
      <c r="AU752" s="97"/>
      <c r="AV752" s="97"/>
      <c r="AW752" s="97"/>
      <c r="AX752" s="97"/>
      <c r="AY752" s="97"/>
      <c r="AZ752" s="97"/>
      <c r="BA752" s="97"/>
      <c r="BB752" s="97"/>
      <c r="BC752" s="97"/>
      <c r="BD752" s="97"/>
      <c r="BE752" s="97"/>
    </row>
    <row r="753" s="96" customFormat="1" customHeight="1" spans="1:57">
      <c r="A753" s="115" t="s">
        <v>6940</v>
      </c>
      <c r="B753" s="111" t="s">
        <v>6941</v>
      </c>
      <c r="C753" s="111" t="s">
        <v>6942</v>
      </c>
      <c r="D753" s="113" t="s">
        <v>6943</v>
      </c>
      <c r="E753" s="111">
        <v>18337176853</v>
      </c>
      <c r="F753" s="267">
        <v>3</v>
      </c>
      <c r="G753" s="268">
        <v>3778</v>
      </c>
      <c r="H753" s="274">
        <v>19.47</v>
      </c>
      <c r="I753" s="274" t="s">
        <v>2657</v>
      </c>
      <c r="J753" s="113" t="s">
        <v>6944</v>
      </c>
      <c r="K753" s="116">
        <v>19.63</v>
      </c>
      <c r="L753" s="266" t="s">
        <v>3205</v>
      </c>
      <c r="M753" s="266" t="s">
        <v>6945</v>
      </c>
      <c r="N753" s="113" t="s">
        <v>66</v>
      </c>
      <c r="O753" s="113"/>
      <c r="P753" s="113"/>
      <c r="Q753" s="113">
        <v>32093.73</v>
      </c>
      <c r="R753" s="113">
        <v>624865</v>
      </c>
      <c r="S753" s="121">
        <v>324865</v>
      </c>
      <c r="T753" s="292"/>
      <c r="U753" s="113">
        <v>300000</v>
      </c>
      <c r="V753" s="113">
        <v>1265</v>
      </c>
      <c r="W753" s="113">
        <v>550</v>
      </c>
      <c r="X753" s="113"/>
      <c r="Y753" s="113" t="s">
        <v>2669</v>
      </c>
      <c r="Z753" s="113" t="s">
        <v>48</v>
      </c>
      <c r="AA753" s="275">
        <v>44050</v>
      </c>
      <c r="AB753" s="113"/>
      <c r="AC753" s="113">
        <v>1250</v>
      </c>
      <c r="AD753" s="122"/>
      <c r="AE753" s="133"/>
      <c r="AF753" s="115"/>
      <c r="AG753" s="133"/>
      <c r="AH753" s="133"/>
      <c r="AI753" s="132">
        <f t="shared" ref="AI753:AI759" si="238">S753+U753+V753+W753+X753+AC753+AD753+AE753</f>
        <v>627930</v>
      </c>
      <c r="AJ753" s="132">
        <f t="shared" ref="AJ753:AJ759" si="239">S753+U753+V753+W753+X753</f>
        <v>626680</v>
      </c>
      <c r="AK753" s="133">
        <f t="shared" ref="AK753:AK759" si="240">AI753-AJ753</f>
        <v>1250</v>
      </c>
      <c r="AL753" s="198"/>
      <c r="AM753" s="133" t="s">
        <v>886</v>
      </c>
      <c r="AN753" s="246">
        <v>44888</v>
      </c>
      <c r="AO753" s="137"/>
      <c r="AP753" s="97"/>
      <c r="AQ753" s="97"/>
      <c r="AR753" s="97"/>
      <c r="AS753" s="97"/>
      <c r="AT753" s="97"/>
      <c r="AU753" s="97"/>
      <c r="AV753" s="97"/>
      <c r="AW753" s="97"/>
      <c r="AX753" s="97"/>
      <c r="AY753" s="97"/>
      <c r="AZ753" s="97"/>
      <c r="BA753" s="97"/>
      <c r="BB753" s="97"/>
      <c r="BC753" s="97"/>
      <c r="BD753" s="97"/>
      <c r="BE753" s="97"/>
    </row>
    <row r="754" s="96" customFormat="1" customHeight="1" spans="1:57">
      <c r="A754" s="115" t="s">
        <v>6946</v>
      </c>
      <c r="B754" s="111" t="s">
        <v>6947</v>
      </c>
      <c r="C754" s="111" t="s">
        <v>6948</v>
      </c>
      <c r="D754" s="113" t="s">
        <v>6949</v>
      </c>
      <c r="E754" s="111" t="s">
        <v>6950</v>
      </c>
      <c r="F754" s="267">
        <v>3</v>
      </c>
      <c r="G754" s="268">
        <v>3709</v>
      </c>
      <c r="H754" s="274">
        <v>13.21</v>
      </c>
      <c r="I754" s="274" t="s">
        <v>2657</v>
      </c>
      <c r="J754" s="113" t="s">
        <v>6951</v>
      </c>
      <c r="K754" s="116">
        <v>10.58</v>
      </c>
      <c r="L754" s="266" t="s">
        <v>3139</v>
      </c>
      <c r="M754" s="266" t="s">
        <v>2968</v>
      </c>
      <c r="N754" s="113" t="s">
        <v>56</v>
      </c>
      <c r="O754" s="113"/>
      <c r="P754" s="113"/>
      <c r="Q754" s="113">
        <v>32311.34</v>
      </c>
      <c r="R754" s="113">
        <v>341854</v>
      </c>
      <c r="S754" s="121">
        <v>341854</v>
      </c>
      <c r="T754" s="292">
        <f t="shared" ref="T754:T775" si="241">R754-S754</f>
        <v>0</v>
      </c>
      <c r="U754" s="113"/>
      <c r="V754" s="113"/>
      <c r="W754" s="113"/>
      <c r="X754" s="113"/>
      <c r="Y754" s="113"/>
      <c r="Z754" s="113"/>
      <c r="AA754" s="275"/>
      <c r="AB754" s="113"/>
      <c r="AC754" s="113"/>
      <c r="AD754" s="122"/>
      <c r="AE754" s="133"/>
      <c r="AF754" s="115"/>
      <c r="AG754" s="133"/>
      <c r="AH754" s="133"/>
      <c r="AI754" s="132">
        <f t="shared" si="238"/>
        <v>341854</v>
      </c>
      <c r="AJ754" s="132">
        <f t="shared" si="239"/>
        <v>341854</v>
      </c>
      <c r="AK754" s="133">
        <f t="shared" si="240"/>
        <v>0</v>
      </c>
      <c r="AL754" s="198"/>
      <c r="AM754" s="133" t="s">
        <v>886</v>
      </c>
      <c r="AN754" s="246">
        <v>44888</v>
      </c>
      <c r="AO754" s="137"/>
      <c r="AP754" s="254"/>
      <c r="AQ754" s="254"/>
      <c r="AR754" s="254"/>
      <c r="AS754" s="254"/>
      <c r="AT754" s="254"/>
      <c r="AU754" s="254"/>
      <c r="AV754" s="254"/>
      <c r="AW754" s="254"/>
      <c r="AX754" s="254"/>
      <c r="AY754" s="254"/>
      <c r="AZ754" s="254"/>
      <c r="BA754" s="254"/>
      <c r="BB754" s="254"/>
      <c r="BC754" s="254"/>
      <c r="BD754" s="254"/>
      <c r="BE754" s="254"/>
    </row>
    <row r="755" s="96" customFormat="1" customHeight="1" spans="1:57">
      <c r="A755" s="115" t="s">
        <v>6952</v>
      </c>
      <c r="B755" s="336" t="s">
        <v>6953</v>
      </c>
      <c r="C755" s="554" t="s">
        <v>6954</v>
      </c>
      <c r="D755" s="113" t="s">
        <v>6955</v>
      </c>
      <c r="E755" s="113">
        <v>18236912017</v>
      </c>
      <c r="F755" s="267">
        <v>1</v>
      </c>
      <c r="G755" s="268">
        <v>1332</v>
      </c>
      <c r="H755" s="274">
        <v>13.93</v>
      </c>
      <c r="I755" s="274" t="s">
        <v>2657</v>
      </c>
      <c r="J755" s="113" t="s">
        <v>6956</v>
      </c>
      <c r="K755" s="113">
        <v>13.61</v>
      </c>
      <c r="L755" s="266" t="s">
        <v>2974</v>
      </c>
      <c r="M755" s="266" t="s">
        <v>2974</v>
      </c>
      <c r="N755" s="113" t="s">
        <v>66</v>
      </c>
      <c r="O755" s="113"/>
      <c r="P755" s="113"/>
      <c r="Q755" s="113">
        <v>49301.98</v>
      </c>
      <c r="R755" s="113">
        <v>671000</v>
      </c>
      <c r="S755" s="121">
        <v>341000</v>
      </c>
      <c r="T755" s="292">
        <f t="shared" si="241"/>
        <v>330000</v>
      </c>
      <c r="U755" s="113"/>
      <c r="V755" s="113"/>
      <c r="W755" s="113"/>
      <c r="X755" s="113"/>
      <c r="Y755" s="113"/>
      <c r="Z755" s="113"/>
      <c r="AA755" s="113"/>
      <c r="AB755" s="113"/>
      <c r="AC755" s="113"/>
      <c r="AD755" s="113"/>
      <c r="AE755" s="133"/>
      <c r="AF755" s="115"/>
      <c r="AG755" s="133"/>
      <c r="AH755" s="133"/>
      <c r="AI755" s="132">
        <f t="shared" si="238"/>
        <v>341000</v>
      </c>
      <c r="AJ755" s="132">
        <f t="shared" si="239"/>
        <v>341000</v>
      </c>
      <c r="AK755" s="133">
        <f t="shared" si="240"/>
        <v>0</v>
      </c>
      <c r="AL755" s="132"/>
      <c r="AM755" s="133" t="s">
        <v>900</v>
      </c>
      <c r="AN755" s="246">
        <v>44866</v>
      </c>
      <c r="AO755" s="137"/>
      <c r="AP755" s="97"/>
      <c r="AQ755" s="97"/>
      <c r="AR755" s="97"/>
      <c r="AS755" s="97"/>
      <c r="AT755" s="97"/>
      <c r="AU755" s="97"/>
      <c r="AV755" s="97"/>
      <c r="AW755" s="97"/>
      <c r="AX755" s="97"/>
      <c r="AY755" s="97"/>
      <c r="AZ755" s="97"/>
      <c r="BA755" s="97"/>
      <c r="BB755" s="97"/>
      <c r="BC755" s="97"/>
      <c r="BD755" s="97"/>
      <c r="BE755" s="97"/>
    </row>
    <row r="756" s="96" customFormat="1" customHeight="1" spans="1:57">
      <c r="A756" s="115" t="s">
        <v>6957</v>
      </c>
      <c r="B756" s="111" t="s">
        <v>6958</v>
      </c>
      <c r="C756" s="554" t="s">
        <v>6959</v>
      </c>
      <c r="D756" s="113" t="s">
        <v>6960</v>
      </c>
      <c r="E756" s="113" t="s">
        <v>6961</v>
      </c>
      <c r="F756" s="267">
        <v>1</v>
      </c>
      <c r="G756" s="268">
        <v>1786</v>
      </c>
      <c r="H756" s="274">
        <v>15.32</v>
      </c>
      <c r="I756" s="274" t="s">
        <v>2657</v>
      </c>
      <c r="J756" s="113" t="s">
        <v>6962</v>
      </c>
      <c r="K756" s="113">
        <v>16.84</v>
      </c>
      <c r="L756" s="266" t="s">
        <v>2974</v>
      </c>
      <c r="M756" s="266" t="s">
        <v>3823</v>
      </c>
      <c r="N756" s="113" t="s">
        <v>66</v>
      </c>
      <c r="O756" s="113"/>
      <c r="P756" s="113"/>
      <c r="Q756" s="113">
        <v>47505.94</v>
      </c>
      <c r="R756" s="113">
        <v>800000</v>
      </c>
      <c r="S756" s="121">
        <v>400000</v>
      </c>
      <c r="T756" s="292">
        <f t="shared" si="241"/>
        <v>400000</v>
      </c>
      <c r="U756" s="113"/>
      <c r="V756" s="113"/>
      <c r="W756" s="113"/>
      <c r="X756" s="113"/>
      <c r="Y756" s="113"/>
      <c r="Z756" s="113"/>
      <c r="AA756" s="113"/>
      <c r="AB756" s="113"/>
      <c r="AC756" s="113"/>
      <c r="AD756" s="113"/>
      <c r="AE756" s="133"/>
      <c r="AF756" s="115"/>
      <c r="AG756" s="133"/>
      <c r="AH756" s="133"/>
      <c r="AI756" s="132">
        <f t="shared" si="238"/>
        <v>400000</v>
      </c>
      <c r="AJ756" s="132">
        <f t="shared" si="239"/>
        <v>400000</v>
      </c>
      <c r="AK756" s="133">
        <f t="shared" si="240"/>
        <v>0</v>
      </c>
      <c r="AL756" s="132"/>
      <c r="AM756" s="133" t="s">
        <v>900</v>
      </c>
      <c r="AN756" s="246">
        <v>44866</v>
      </c>
      <c r="AO756" s="137"/>
      <c r="AP756" s="97"/>
      <c r="AQ756" s="97"/>
      <c r="AR756" s="97"/>
      <c r="AS756" s="97"/>
      <c r="AT756" s="97"/>
      <c r="AU756" s="97"/>
      <c r="AV756" s="97"/>
      <c r="AW756" s="97"/>
      <c r="AX756" s="97"/>
      <c r="AY756" s="97"/>
      <c r="AZ756" s="97"/>
      <c r="BA756" s="97"/>
      <c r="BB756" s="97"/>
      <c r="BC756" s="97"/>
      <c r="BD756" s="97"/>
      <c r="BE756" s="97"/>
    </row>
    <row r="757" s="96" customFormat="1" customHeight="1" spans="1:57">
      <c r="A757" s="339" t="s">
        <v>6963</v>
      </c>
      <c r="B757" s="111" t="s">
        <v>6964</v>
      </c>
      <c r="C757" s="554" t="s">
        <v>6965</v>
      </c>
      <c r="D757" s="113" t="s">
        <v>6966</v>
      </c>
      <c r="E757" s="113">
        <v>15038142521</v>
      </c>
      <c r="F757" s="267">
        <v>4</v>
      </c>
      <c r="G757" s="268">
        <v>4225</v>
      </c>
      <c r="H757" s="274">
        <v>17.87</v>
      </c>
      <c r="I757" s="274" t="s">
        <v>2657</v>
      </c>
      <c r="J757" s="113" t="s">
        <v>6967</v>
      </c>
      <c r="K757" s="113">
        <v>13.95</v>
      </c>
      <c r="L757" s="266" t="s">
        <v>3035</v>
      </c>
      <c r="M757" s="266" t="s">
        <v>2834</v>
      </c>
      <c r="N757" s="113" t="s">
        <v>66</v>
      </c>
      <c r="O757" s="113"/>
      <c r="P757" s="113"/>
      <c r="Q757" s="113">
        <v>27640.14</v>
      </c>
      <c r="R757" s="113">
        <v>385580</v>
      </c>
      <c r="S757" s="121">
        <v>195580</v>
      </c>
      <c r="T757" s="292">
        <f t="shared" si="241"/>
        <v>190000</v>
      </c>
      <c r="U757" s="113"/>
      <c r="V757" s="113"/>
      <c r="W757" s="113"/>
      <c r="X757" s="113"/>
      <c r="Y757" s="113"/>
      <c r="Z757" s="113"/>
      <c r="AA757" s="113"/>
      <c r="AB757" s="113" t="s">
        <v>6968</v>
      </c>
      <c r="AC757" s="321"/>
      <c r="AD757" s="115"/>
      <c r="AE757" s="115"/>
      <c r="AF757" s="115"/>
      <c r="AG757" s="115"/>
      <c r="AH757" s="115"/>
      <c r="AI757" s="132">
        <f t="shared" si="238"/>
        <v>195580</v>
      </c>
      <c r="AJ757" s="132">
        <f t="shared" si="239"/>
        <v>195580</v>
      </c>
      <c r="AK757" s="133">
        <f t="shared" si="240"/>
        <v>0</v>
      </c>
      <c r="AL757" s="155"/>
      <c r="AM757" s="115" t="s">
        <v>974</v>
      </c>
      <c r="AN757" s="246">
        <v>44886</v>
      </c>
      <c r="AO757" s="137"/>
      <c r="AP757" s="97"/>
      <c r="AQ757" s="97"/>
      <c r="AR757" s="97"/>
      <c r="AS757" s="97"/>
      <c r="AT757" s="97"/>
      <c r="AU757" s="97"/>
      <c r="AV757" s="97"/>
      <c r="AW757" s="97"/>
      <c r="AX757" s="97"/>
      <c r="AY757" s="97"/>
      <c r="AZ757" s="97"/>
      <c r="BA757" s="97"/>
      <c r="BB757" s="97"/>
      <c r="BC757" s="97"/>
      <c r="BD757" s="97"/>
      <c r="BE757" s="97"/>
    </row>
    <row r="758" s="96" customFormat="1" customHeight="1" spans="1:57">
      <c r="A758" s="115" t="s">
        <v>6969</v>
      </c>
      <c r="B758" s="111" t="s">
        <v>6970</v>
      </c>
      <c r="C758" s="111" t="s">
        <v>6971</v>
      </c>
      <c r="D758" s="121" t="s">
        <v>6972</v>
      </c>
      <c r="E758" s="113">
        <v>13598099593</v>
      </c>
      <c r="F758" s="267">
        <v>3</v>
      </c>
      <c r="G758" s="268">
        <v>3119</v>
      </c>
      <c r="H758" s="274">
        <v>13.91</v>
      </c>
      <c r="I758" s="274" t="s">
        <v>2657</v>
      </c>
      <c r="J758" s="113" t="s">
        <v>6973</v>
      </c>
      <c r="K758" s="116">
        <v>11.85</v>
      </c>
      <c r="L758" s="266" t="s">
        <v>2659</v>
      </c>
      <c r="M758" s="266" t="s">
        <v>3445</v>
      </c>
      <c r="N758" s="113" t="s">
        <v>66</v>
      </c>
      <c r="O758" s="113"/>
      <c r="P758" s="113"/>
      <c r="Q758" s="113">
        <v>32085.15</v>
      </c>
      <c r="R758" s="113">
        <v>380209</v>
      </c>
      <c r="S758" s="121">
        <v>190209</v>
      </c>
      <c r="T758" s="292">
        <f t="shared" si="241"/>
        <v>190000</v>
      </c>
      <c r="U758" s="113"/>
      <c r="V758" s="113"/>
      <c r="W758" s="113"/>
      <c r="X758" s="113"/>
      <c r="Y758" s="113"/>
      <c r="Z758" s="113"/>
      <c r="AA758" s="113"/>
      <c r="AB758" s="113"/>
      <c r="AC758" s="113"/>
      <c r="AD758" s="113"/>
      <c r="AE758" s="133"/>
      <c r="AF758" s="115"/>
      <c r="AG758" s="133"/>
      <c r="AH758" s="133"/>
      <c r="AI758" s="132">
        <f t="shared" si="238"/>
        <v>190209</v>
      </c>
      <c r="AJ758" s="132">
        <f t="shared" si="239"/>
        <v>190209</v>
      </c>
      <c r="AK758" s="133">
        <f t="shared" si="240"/>
        <v>0</v>
      </c>
      <c r="AL758" s="132"/>
      <c r="AM758" s="133" t="s">
        <v>900</v>
      </c>
      <c r="AN758" s="246">
        <v>44866</v>
      </c>
      <c r="AO758" s="137"/>
      <c r="AP758" s="97"/>
      <c r="AQ758" s="97"/>
      <c r="AR758" s="97"/>
      <c r="AS758" s="97"/>
      <c r="AT758" s="97"/>
      <c r="AU758" s="97"/>
      <c r="AV758" s="97"/>
      <c r="AW758" s="97"/>
      <c r="AX758" s="97"/>
      <c r="AY758" s="97"/>
      <c r="AZ758" s="97"/>
      <c r="BA758" s="97"/>
      <c r="BB758" s="97"/>
      <c r="BC758" s="97"/>
      <c r="BD758" s="97"/>
      <c r="BE758" s="97"/>
    </row>
    <row r="759" s="96" customFormat="1" customHeight="1" spans="1:57">
      <c r="A759" s="115" t="s">
        <v>6974</v>
      </c>
      <c r="B759" s="111" t="s">
        <v>6975</v>
      </c>
      <c r="C759" s="554" t="s">
        <v>6976</v>
      </c>
      <c r="D759" s="113" t="s">
        <v>6977</v>
      </c>
      <c r="E759" s="113">
        <v>13937332318</v>
      </c>
      <c r="F759" s="267">
        <v>1</v>
      </c>
      <c r="G759" s="268">
        <v>1678</v>
      </c>
      <c r="H759" s="274">
        <v>14.73</v>
      </c>
      <c r="I759" s="274" t="s">
        <v>2657</v>
      </c>
      <c r="J759" s="113" t="s">
        <v>6978</v>
      </c>
      <c r="K759" s="113">
        <v>14.66</v>
      </c>
      <c r="L759" s="266" t="s">
        <v>4879</v>
      </c>
      <c r="M759" s="266" t="s">
        <v>5819</v>
      </c>
      <c r="N759" s="113" t="s">
        <v>2677</v>
      </c>
      <c r="O759" s="113"/>
      <c r="P759" s="113"/>
      <c r="Q759" s="113">
        <v>47472.24</v>
      </c>
      <c r="R759" s="113">
        <v>695943</v>
      </c>
      <c r="S759" s="121">
        <v>355943</v>
      </c>
      <c r="T759" s="292">
        <f t="shared" si="241"/>
        <v>340000</v>
      </c>
      <c r="U759" s="113"/>
      <c r="V759" s="113"/>
      <c r="W759" s="113"/>
      <c r="X759" s="113"/>
      <c r="Y759" s="113"/>
      <c r="Z759" s="113"/>
      <c r="AA759" s="113"/>
      <c r="AB759" s="113"/>
      <c r="AC759" s="113"/>
      <c r="AD759" s="113"/>
      <c r="AE759" s="133"/>
      <c r="AF759" s="115"/>
      <c r="AG759" s="133"/>
      <c r="AH759" s="133"/>
      <c r="AI759" s="132">
        <f t="shared" si="238"/>
        <v>355943</v>
      </c>
      <c r="AJ759" s="132">
        <f t="shared" si="239"/>
        <v>355943</v>
      </c>
      <c r="AK759" s="133">
        <f t="shared" si="240"/>
        <v>0</v>
      </c>
      <c r="AL759" s="132"/>
      <c r="AM759" s="133" t="s">
        <v>900</v>
      </c>
      <c r="AN759" s="246">
        <v>44867</v>
      </c>
      <c r="AO759" s="137"/>
      <c r="AP759" s="97"/>
      <c r="AQ759" s="97"/>
      <c r="AR759" s="97"/>
      <c r="AS759" s="97"/>
      <c r="AT759" s="97"/>
      <c r="AU759" s="97"/>
      <c r="AV759" s="97"/>
      <c r="AW759" s="97"/>
      <c r="AX759" s="97"/>
      <c r="AY759" s="97"/>
      <c r="AZ759" s="97"/>
      <c r="BA759" s="97"/>
      <c r="BB759" s="97"/>
      <c r="BC759" s="97"/>
      <c r="BD759" s="97"/>
      <c r="BE759" s="97"/>
    </row>
    <row r="760" s="96" customFormat="1" customHeight="1" spans="1:57">
      <c r="A760" s="337" t="s">
        <v>6979</v>
      </c>
      <c r="B760" s="296" t="s">
        <v>6980</v>
      </c>
      <c r="C760" s="296" t="s">
        <v>6981</v>
      </c>
      <c r="D760" s="267" t="s">
        <v>6982</v>
      </c>
      <c r="E760" s="267">
        <v>15638103262</v>
      </c>
      <c r="F760" s="267">
        <v>4</v>
      </c>
      <c r="G760" s="268">
        <v>489</v>
      </c>
      <c r="H760" s="274">
        <v>22.54</v>
      </c>
      <c r="I760" s="274" t="s">
        <v>2665</v>
      </c>
      <c r="J760" s="267" t="s">
        <v>6983</v>
      </c>
      <c r="K760" s="326">
        <v>26.6</v>
      </c>
      <c r="L760" s="268" t="s">
        <v>2711</v>
      </c>
      <c r="M760" s="268" t="s">
        <v>2941</v>
      </c>
      <c r="N760" s="267" t="s">
        <v>56</v>
      </c>
      <c r="O760" s="267"/>
      <c r="P760" s="267"/>
      <c r="Q760" s="274">
        <v>20173.95</v>
      </c>
      <c r="R760" s="267">
        <v>454721</v>
      </c>
      <c r="S760" s="292">
        <v>454721</v>
      </c>
      <c r="T760" s="292">
        <f t="shared" si="241"/>
        <v>0</v>
      </c>
      <c r="U760" s="267"/>
      <c r="V760" s="267">
        <v>1465</v>
      </c>
      <c r="W760" s="267">
        <v>550</v>
      </c>
      <c r="X760" s="267">
        <v>79891</v>
      </c>
      <c r="Y760" s="267" t="s">
        <v>2669</v>
      </c>
      <c r="Z760" s="267" t="s">
        <v>48</v>
      </c>
      <c r="AA760" s="304">
        <v>44019</v>
      </c>
      <c r="AB760" s="267"/>
      <c r="AC760" s="113"/>
      <c r="AD760" s="113"/>
      <c r="AE760" s="133"/>
      <c r="AF760" s="115"/>
      <c r="AG760" s="133"/>
      <c r="AH760" s="133"/>
      <c r="AI760" s="132">
        <f t="shared" ref="AI760:AI762" si="242">S760+U760+V760+W760+X760+AC760+AD760+AE760</f>
        <v>536627</v>
      </c>
      <c r="AJ760" s="341"/>
      <c r="AK760" s="133">
        <f t="shared" ref="AK760:AK762" si="243">AI760-AJ760</f>
        <v>536627</v>
      </c>
      <c r="AL760" s="342" t="s">
        <v>6885</v>
      </c>
      <c r="AM760" s="133" t="s">
        <v>900</v>
      </c>
      <c r="AN760" s="246">
        <v>44867</v>
      </c>
      <c r="AO760" s="137"/>
      <c r="AP760" s="97"/>
      <c r="AQ760" s="97"/>
      <c r="AR760" s="97"/>
      <c r="AS760" s="97"/>
      <c r="AT760" s="97"/>
      <c r="AU760" s="97"/>
      <c r="AV760" s="97"/>
      <c r="AW760" s="97"/>
      <c r="AX760" s="97"/>
      <c r="AY760" s="97"/>
      <c r="AZ760" s="97"/>
      <c r="BA760" s="97"/>
      <c r="BB760" s="97"/>
      <c r="BC760" s="97"/>
      <c r="BD760" s="97"/>
      <c r="BE760" s="97"/>
    </row>
    <row r="761" s="96" customFormat="1" customHeight="1" spans="1:57">
      <c r="A761" s="337" t="s">
        <v>6984</v>
      </c>
      <c r="B761" s="111" t="s">
        <v>6985</v>
      </c>
      <c r="C761" s="554" t="s">
        <v>6986</v>
      </c>
      <c r="D761" s="113" t="s">
        <v>6987</v>
      </c>
      <c r="E761" s="113" t="s">
        <v>6988</v>
      </c>
      <c r="F761" s="267">
        <v>1</v>
      </c>
      <c r="G761" s="268">
        <v>1567</v>
      </c>
      <c r="H761" s="274">
        <v>24.91</v>
      </c>
      <c r="I761" s="274" t="s">
        <v>2657</v>
      </c>
      <c r="J761" s="113" t="s">
        <v>6989</v>
      </c>
      <c r="K761" s="116">
        <v>25.55</v>
      </c>
      <c r="L761" s="266" t="s">
        <v>2747</v>
      </c>
      <c r="M761" s="266" t="s">
        <v>6990</v>
      </c>
      <c r="N761" s="113" t="s">
        <v>66</v>
      </c>
      <c r="O761" s="113"/>
      <c r="P761" s="113"/>
      <c r="Q761" s="113">
        <v>47749.51</v>
      </c>
      <c r="R761" s="113">
        <v>1189440</v>
      </c>
      <c r="S761" s="121">
        <v>619440</v>
      </c>
      <c r="T761" s="292">
        <f t="shared" si="241"/>
        <v>570000</v>
      </c>
      <c r="U761" s="113"/>
      <c r="V761" s="113">
        <v>1619</v>
      </c>
      <c r="W761" s="113">
        <v>550</v>
      </c>
      <c r="X761" s="113"/>
      <c r="Y761" s="113"/>
      <c r="Z761" s="113"/>
      <c r="AA761" s="113"/>
      <c r="AB761" s="113"/>
      <c r="AC761" s="113"/>
      <c r="AD761" s="113"/>
      <c r="AE761" s="133"/>
      <c r="AF761" s="115"/>
      <c r="AG761" s="133"/>
      <c r="AH761" s="133"/>
      <c r="AI761" s="132">
        <f t="shared" si="242"/>
        <v>621609</v>
      </c>
      <c r="AJ761" s="341"/>
      <c r="AK761" s="133">
        <f t="shared" si="243"/>
        <v>621609</v>
      </c>
      <c r="AL761" s="342" t="s">
        <v>6885</v>
      </c>
      <c r="AM761" s="133" t="s">
        <v>900</v>
      </c>
      <c r="AN761" s="246">
        <v>44867</v>
      </c>
      <c r="AO761" s="137"/>
      <c r="AP761" s="97"/>
      <c r="AQ761" s="97"/>
      <c r="AR761" s="97"/>
      <c r="AS761" s="97"/>
      <c r="AT761" s="97"/>
      <c r="AU761" s="97"/>
      <c r="AV761" s="97"/>
      <c r="AW761" s="97"/>
      <c r="AX761" s="97"/>
      <c r="AY761" s="97"/>
      <c r="AZ761" s="97"/>
      <c r="BA761" s="97"/>
      <c r="BB761" s="97"/>
      <c r="BC761" s="97"/>
      <c r="BD761" s="97"/>
      <c r="BE761" s="97"/>
    </row>
    <row r="762" s="96" customFormat="1" customHeight="1" spans="1:57">
      <c r="A762" s="115" t="s">
        <v>6991</v>
      </c>
      <c r="B762" s="111" t="s">
        <v>6992</v>
      </c>
      <c r="C762" s="554" t="s">
        <v>6993</v>
      </c>
      <c r="D762" s="113" t="s">
        <v>6994</v>
      </c>
      <c r="E762" s="113">
        <v>13663810444</v>
      </c>
      <c r="F762" s="267">
        <v>1</v>
      </c>
      <c r="G762" s="268">
        <v>158</v>
      </c>
      <c r="H762" s="274">
        <v>23.43</v>
      </c>
      <c r="I762" s="274" t="s">
        <v>2657</v>
      </c>
      <c r="J762" s="113" t="s">
        <v>6995</v>
      </c>
      <c r="K762" s="116">
        <v>19.67</v>
      </c>
      <c r="L762" s="266" t="s">
        <v>2960</v>
      </c>
      <c r="M762" s="266" t="s">
        <v>3911</v>
      </c>
      <c r="N762" s="113" t="s">
        <v>66</v>
      </c>
      <c r="O762" s="113"/>
      <c r="P762" s="113"/>
      <c r="Q762" s="113">
        <v>47276.61</v>
      </c>
      <c r="R762" s="113">
        <v>929931</v>
      </c>
      <c r="S762" s="121">
        <v>469931</v>
      </c>
      <c r="T762" s="292">
        <f t="shared" si="241"/>
        <v>460000</v>
      </c>
      <c r="U762" s="113"/>
      <c r="V762" s="113"/>
      <c r="W762" s="113"/>
      <c r="X762" s="113"/>
      <c r="Y762" s="113"/>
      <c r="Z762" s="113"/>
      <c r="AA762" s="113"/>
      <c r="AB762" s="113"/>
      <c r="AC762" s="113"/>
      <c r="AD762" s="113"/>
      <c r="AE762" s="133"/>
      <c r="AF762" s="115"/>
      <c r="AG762" s="133"/>
      <c r="AH762" s="133"/>
      <c r="AI762" s="132">
        <f t="shared" si="242"/>
        <v>469931</v>
      </c>
      <c r="AJ762" s="132">
        <f t="shared" ref="AJ762:AJ767" si="244">S762+U762+V762+W762+X762</f>
        <v>469931</v>
      </c>
      <c r="AK762" s="133">
        <f t="shared" si="243"/>
        <v>0</v>
      </c>
      <c r="AL762" s="132"/>
      <c r="AM762" s="133" t="s">
        <v>900</v>
      </c>
      <c r="AN762" s="246">
        <v>44867</v>
      </c>
      <c r="AO762" s="137"/>
      <c r="AP762" s="97"/>
      <c r="AQ762" s="97"/>
      <c r="AR762" s="97"/>
      <c r="AS762" s="97"/>
      <c r="AT762" s="97"/>
      <c r="AU762" s="97"/>
      <c r="AV762" s="97"/>
      <c r="AW762" s="97"/>
      <c r="AX762" s="97"/>
      <c r="AY762" s="97"/>
      <c r="AZ762" s="97"/>
      <c r="BA762" s="97"/>
      <c r="BB762" s="97"/>
      <c r="BC762" s="97"/>
      <c r="BD762" s="97"/>
      <c r="BE762" s="97"/>
    </row>
    <row r="763" s="96" customFormat="1" customHeight="1" spans="1:57">
      <c r="A763" s="115" t="s">
        <v>6996</v>
      </c>
      <c r="B763" s="111" t="s">
        <v>6997</v>
      </c>
      <c r="C763" s="554" t="s">
        <v>6998</v>
      </c>
      <c r="D763" s="113" t="s">
        <v>6999</v>
      </c>
      <c r="E763" s="113">
        <v>13838295649</v>
      </c>
      <c r="F763" s="267">
        <v>1</v>
      </c>
      <c r="G763" s="268">
        <v>166</v>
      </c>
      <c r="H763" s="274">
        <v>21.75</v>
      </c>
      <c r="I763" s="274" t="s">
        <v>2657</v>
      </c>
      <c r="J763" s="113" t="s">
        <v>7000</v>
      </c>
      <c r="K763" s="116">
        <v>19.8</v>
      </c>
      <c r="L763" s="266" t="s">
        <v>2785</v>
      </c>
      <c r="M763" s="266" t="s">
        <v>7001</v>
      </c>
      <c r="N763" s="113" t="s">
        <v>56</v>
      </c>
      <c r="O763" s="113"/>
      <c r="P763" s="113"/>
      <c r="Q763" s="113">
        <v>49380.64</v>
      </c>
      <c r="R763" s="113">
        <v>1074029</v>
      </c>
      <c r="S763" s="113">
        <v>1074029</v>
      </c>
      <c r="T763" s="292">
        <f t="shared" si="241"/>
        <v>0</v>
      </c>
      <c r="U763" s="113"/>
      <c r="V763" s="113">
        <v>1413</v>
      </c>
      <c r="W763" s="113">
        <v>550</v>
      </c>
      <c r="X763" s="113"/>
      <c r="Y763" s="113" t="s">
        <v>2669</v>
      </c>
      <c r="Z763" s="113" t="s">
        <v>48</v>
      </c>
      <c r="AA763" s="305">
        <v>44023</v>
      </c>
      <c r="AB763" s="113"/>
      <c r="AC763" s="113"/>
      <c r="AD763" s="113"/>
      <c r="AE763" s="133"/>
      <c r="AF763" s="115"/>
      <c r="AG763" s="133"/>
      <c r="AH763" s="133"/>
      <c r="AI763" s="132">
        <f t="shared" ref="AI763:AI767" si="245">S763+U763+V763+W763+X763+AC763+AD763+AE763</f>
        <v>1075992</v>
      </c>
      <c r="AJ763" s="132">
        <f t="shared" si="244"/>
        <v>1075992</v>
      </c>
      <c r="AK763" s="133">
        <f t="shared" ref="AK763:AK767" si="246">AI763-AJ763</f>
        <v>0</v>
      </c>
      <c r="AL763" s="132"/>
      <c r="AM763" s="133" t="s">
        <v>900</v>
      </c>
      <c r="AN763" s="246">
        <v>44867</v>
      </c>
      <c r="AO763" s="137"/>
      <c r="AP763" s="97"/>
      <c r="AQ763" s="97"/>
      <c r="AR763" s="97"/>
      <c r="AS763" s="97"/>
      <c r="AT763" s="97"/>
      <c r="AU763" s="97"/>
      <c r="AV763" s="97"/>
      <c r="AW763" s="97"/>
      <c r="AX763" s="97"/>
      <c r="AY763" s="97"/>
      <c r="AZ763" s="97"/>
      <c r="BA763" s="97"/>
      <c r="BB763" s="97"/>
      <c r="BC763" s="97"/>
      <c r="BD763" s="97"/>
      <c r="BE763" s="97"/>
    </row>
    <row r="764" s="96" customFormat="1" customHeight="1" spans="1:57">
      <c r="A764" s="115" t="s">
        <v>7002</v>
      </c>
      <c r="B764" s="111" t="s">
        <v>7003</v>
      </c>
      <c r="C764" s="554" t="s">
        <v>7004</v>
      </c>
      <c r="D764" s="113" t="s">
        <v>6367</v>
      </c>
      <c r="E764" s="113">
        <v>15837894444</v>
      </c>
      <c r="F764" s="267">
        <v>1</v>
      </c>
      <c r="G764" s="268">
        <v>168</v>
      </c>
      <c r="H764" s="274">
        <v>21.59</v>
      </c>
      <c r="I764" s="274" t="s">
        <v>2657</v>
      </c>
      <c r="J764" s="113" t="s">
        <v>7005</v>
      </c>
      <c r="K764" s="116">
        <v>21.43</v>
      </c>
      <c r="L764" s="266" t="s">
        <v>2806</v>
      </c>
      <c r="M764" s="266" t="s">
        <v>2807</v>
      </c>
      <c r="N764" s="113" t="s">
        <v>66</v>
      </c>
      <c r="O764" s="113"/>
      <c r="P764" s="113"/>
      <c r="Q764" s="113">
        <v>47035.56</v>
      </c>
      <c r="R764" s="113">
        <v>1007972</v>
      </c>
      <c r="S764" s="121">
        <v>507972</v>
      </c>
      <c r="T764" s="292">
        <f t="shared" si="241"/>
        <v>500000</v>
      </c>
      <c r="U764" s="113"/>
      <c r="V764" s="113"/>
      <c r="W764" s="113"/>
      <c r="X764" s="113"/>
      <c r="Y764" s="113"/>
      <c r="Z764" s="113"/>
      <c r="AA764" s="113"/>
      <c r="AB764" s="113" t="s">
        <v>7006</v>
      </c>
      <c r="AC764" s="113"/>
      <c r="AD764" s="113"/>
      <c r="AE764" s="133"/>
      <c r="AF764" s="115"/>
      <c r="AG764" s="133"/>
      <c r="AH764" s="133"/>
      <c r="AI764" s="132">
        <f t="shared" si="245"/>
        <v>507972</v>
      </c>
      <c r="AJ764" s="132">
        <f t="shared" si="244"/>
        <v>507972</v>
      </c>
      <c r="AK764" s="133">
        <f t="shared" si="246"/>
        <v>0</v>
      </c>
      <c r="AL764" s="132"/>
      <c r="AM764" s="133" t="s">
        <v>900</v>
      </c>
      <c r="AN764" s="246">
        <v>44867</v>
      </c>
      <c r="AO764" s="137"/>
      <c r="AP764" s="97"/>
      <c r="AQ764" s="97"/>
      <c r="AR764" s="97"/>
      <c r="AS764" s="97"/>
      <c r="AT764" s="97"/>
      <c r="AU764" s="97"/>
      <c r="AV764" s="97"/>
      <c r="AW764" s="97"/>
      <c r="AX764" s="97"/>
      <c r="AY764" s="97"/>
      <c r="AZ764" s="97"/>
      <c r="BA764" s="97"/>
      <c r="BB764" s="97"/>
      <c r="BC764" s="97"/>
      <c r="BD764" s="97"/>
      <c r="BE764" s="97"/>
    </row>
    <row r="765" s="96" customFormat="1" customHeight="1" spans="1:57">
      <c r="A765" s="115" t="s">
        <v>7007</v>
      </c>
      <c r="B765" s="111" t="s">
        <v>7008</v>
      </c>
      <c r="C765" s="554" t="s">
        <v>7009</v>
      </c>
      <c r="D765" s="113" t="s">
        <v>7010</v>
      </c>
      <c r="E765" s="113">
        <v>15093431100</v>
      </c>
      <c r="F765" s="267">
        <v>4</v>
      </c>
      <c r="G765" s="268">
        <v>480</v>
      </c>
      <c r="H765" s="274">
        <v>13.58</v>
      </c>
      <c r="I765" s="274" t="s">
        <v>2657</v>
      </c>
      <c r="J765" s="113" t="s">
        <v>7011</v>
      </c>
      <c r="K765" s="116">
        <v>12.47</v>
      </c>
      <c r="L765" s="266" t="s">
        <v>3355</v>
      </c>
      <c r="M765" s="266" t="s">
        <v>3017</v>
      </c>
      <c r="N765" s="113" t="s">
        <v>66</v>
      </c>
      <c r="O765" s="113"/>
      <c r="P765" s="113"/>
      <c r="Q765" s="113">
        <v>26553.17</v>
      </c>
      <c r="R765" s="113">
        <v>360592</v>
      </c>
      <c r="S765" s="121">
        <v>180592</v>
      </c>
      <c r="T765" s="292">
        <f t="shared" si="241"/>
        <v>180000</v>
      </c>
      <c r="U765" s="113"/>
      <c r="V765" s="113">
        <v>882</v>
      </c>
      <c r="W765" s="113">
        <v>550</v>
      </c>
      <c r="X765" s="113"/>
      <c r="Y765" s="113" t="s">
        <v>2669</v>
      </c>
      <c r="Z765" s="113" t="s">
        <v>48</v>
      </c>
      <c r="AA765" s="304">
        <v>44023</v>
      </c>
      <c r="AB765" s="340"/>
      <c r="AC765" s="113">
        <f>1788-550</f>
        <v>1238</v>
      </c>
      <c r="AD765" s="113"/>
      <c r="AE765" s="133"/>
      <c r="AF765" s="115"/>
      <c r="AG765" s="133"/>
      <c r="AH765" s="133"/>
      <c r="AI765" s="132">
        <f t="shared" si="245"/>
        <v>183262</v>
      </c>
      <c r="AJ765" s="132">
        <f t="shared" si="244"/>
        <v>182024</v>
      </c>
      <c r="AK765" s="133">
        <f t="shared" si="246"/>
        <v>1238</v>
      </c>
      <c r="AL765" s="132"/>
      <c r="AM765" s="133" t="s">
        <v>900</v>
      </c>
      <c r="AN765" s="246">
        <v>44867</v>
      </c>
      <c r="AO765" s="137"/>
      <c r="AP765" s="97"/>
      <c r="AQ765" s="97"/>
      <c r="AR765" s="97"/>
      <c r="AS765" s="97"/>
      <c r="AT765" s="97"/>
      <c r="AU765" s="97"/>
      <c r="AV765" s="97"/>
      <c r="AW765" s="97"/>
      <c r="AX765" s="97"/>
      <c r="AY765" s="97"/>
      <c r="AZ765" s="97"/>
      <c r="BA765" s="97"/>
      <c r="BB765" s="97"/>
      <c r="BC765" s="97"/>
      <c r="BD765" s="97"/>
      <c r="BE765" s="97"/>
    </row>
    <row r="766" s="96" customFormat="1" customHeight="1" spans="1:57">
      <c r="A766" s="337" t="s">
        <v>7012</v>
      </c>
      <c r="B766" s="111" t="s">
        <v>7013</v>
      </c>
      <c r="C766" s="554" t="s">
        <v>7014</v>
      </c>
      <c r="D766" s="113" t="s">
        <v>7015</v>
      </c>
      <c r="E766" s="113">
        <v>15516955500</v>
      </c>
      <c r="F766" s="267">
        <v>1</v>
      </c>
      <c r="G766" s="268">
        <v>1686</v>
      </c>
      <c r="H766" s="274">
        <v>21.21</v>
      </c>
      <c r="I766" s="274" t="s">
        <v>2657</v>
      </c>
      <c r="J766" s="113" t="s">
        <v>7016</v>
      </c>
      <c r="K766" s="113">
        <v>21.12</v>
      </c>
      <c r="L766" s="266" t="s">
        <v>6439</v>
      </c>
      <c r="M766" s="266" t="s">
        <v>4806</v>
      </c>
      <c r="N766" s="113" t="s">
        <v>66</v>
      </c>
      <c r="O766" s="113"/>
      <c r="P766" s="113"/>
      <c r="Q766" s="113">
        <v>46725.99</v>
      </c>
      <c r="R766" s="113">
        <v>986853</v>
      </c>
      <c r="S766" s="121">
        <v>496853</v>
      </c>
      <c r="T766" s="292">
        <f t="shared" si="241"/>
        <v>490000</v>
      </c>
      <c r="U766" s="113"/>
      <c r="V766" s="113"/>
      <c r="W766" s="113"/>
      <c r="X766" s="113"/>
      <c r="Y766" s="113"/>
      <c r="Z766" s="113"/>
      <c r="AA766" s="113"/>
      <c r="AB766" s="113"/>
      <c r="AC766" s="113"/>
      <c r="AD766" s="113"/>
      <c r="AE766" s="133"/>
      <c r="AF766" s="115"/>
      <c r="AG766" s="133"/>
      <c r="AH766" s="133"/>
      <c r="AI766" s="132">
        <f t="shared" si="245"/>
        <v>496853</v>
      </c>
      <c r="AJ766" s="341"/>
      <c r="AK766" s="133">
        <f t="shared" si="246"/>
        <v>496853</v>
      </c>
      <c r="AL766" s="342" t="s">
        <v>6885</v>
      </c>
      <c r="AM766" s="133" t="s">
        <v>900</v>
      </c>
      <c r="AN766" s="246">
        <v>44867</v>
      </c>
      <c r="AO766" s="137"/>
      <c r="AP766" s="97"/>
      <c r="AQ766" s="97"/>
      <c r="AR766" s="97"/>
      <c r="AS766" s="97"/>
      <c r="AT766" s="97"/>
      <c r="AU766" s="97"/>
      <c r="AV766" s="97"/>
      <c r="AW766" s="97"/>
      <c r="AX766" s="97"/>
      <c r="AY766" s="97"/>
      <c r="AZ766" s="97"/>
      <c r="BA766" s="97"/>
      <c r="BB766" s="97"/>
      <c r="BC766" s="97"/>
      <c r="BD766" s="97"/>
      <c r="BE766" s="97"/>
    </row>
    <row r="767" s="96" customFormat="1" customHeight="1" spans="1:57">
      <c r="A767" s="115" t="s">
        <v>7017</v>
      </c>
      <c r="B767" s="111" t="s">
        <v>7018</v>
      </c>
      <c r="C767" s="111" t="s">
        <v>7019</v>
      </c>
      <c r="D767" s="121" t="s">
        <v>5451</v>
      </c>
      <c r="E767" s="113" t="s">
        <v>7020</v>
      </c>
      <c r="F767" s="267">
        <v>3</v>
      </c>
      <c r="G767" s="268">
        <v>3215</v>
      </c>
      <c r="H767" s="274">
        <v>11.26</v>
      </c>
      <c r="I767" s="274" t="s">
        <v>2657</v>
      </c>
      <c r="J767" s="113" t="s">
        <v>7021</v>
      </c>
      <c r="K767" s="116">
        <v>12.42</v>
      </c>
      <c r="L767" s="266" t="s">
        <v>2806</v>
      </c>
      <c r="M767" s="266" t="s">
        <v>6803</v>
      </c>
      <c r="N767" s="113" t="s">
        <v>66</v>
      </c>
      <c r="O767" s="113"/>
      <c r="P767" s="113"/>
      <c r="Q767" s="113">
        <v>32085.1</v>
      </c>
      <c r="R767" s="113">
        <v>398497</v>
      </c>
      <c r="S767" s="121">
        <v>208497</v>
      </c>
      <c r="T767" s="292">
        <f t="shared" si="241"/>
        <v>190000</v>
      </c>
      <c r="U767" s="113"/>
      <c r="V767" s="113"/>
      <c r="W767" s="113"/>
      <c r="X767" s="113"/>
      <c r="Y767" s="113"/>
      <c r="Z767" s="113"/>
      <c r="AA767" s="113"/>
      <c r="AB767" s="113"/>
      <c r="AC767" s="113"/>
      <c r="AD767" s="113"/>
      <c r="AE767" s="133"/>
      <c r="AF767" s="115"/>
      <c r="AG767" s="133"/>
      <c r="AH767" s="133"/>
      <c r="AI767" s="132">
        <f t="shared" si="245"/>
        <v>208497</v>
      </c>
      <c r="AJ767" s="132">
        <f t="shared" si="244"/>
        <v>208497</v>
      </c>
      <c r="AK767" s="133">
        <f t="shared" si="246"/>
        <v>0</v>
      </c>
      <c r="AL767" s="132"/>
      <c r="AM767" s="133" t="s">
        <v>900</v>
      </c>
      <c r="AN767" s="246">
        <v>44867</v>
      </c>
      <c r="AO767" s="137"/>
      <c r="AP767" s="97"/>
      <c r="AQ767" s="97"/>
      <c r="AR767" s="97"/>
      <c r="AS767" s="97"/>
      <c r="AT767" s="97"/>
      <c r="AU767" s="97"/>
      <c r="AV767" s="97"/>
      <c r="AW767" s="97"/>
      <c r="AX767" s="97"/>
      <c r="AY767" s="97"/>
      <c r="AZ767" s="97"/>
      <c r="BA767" s="97"/>
      <c r="BB767" s="97"/>
      <c r="BC767" s="97"/>
      <c r="BD767" s="97"/>
      <c r="BE767" s="97"/>
    </row>
    <row r="768" s="96" customFormat="1" customHeight="1" spans="1:57">
      <c r="A768" s="115" t="s">
        <v>7022</v>
      </c>
      <c r="B768" s="111" t="s">
        <v>7023</v>
      </c>
      <c r="C768" s="111" t="s">
        <v>7024</v>
      </c>
      <c r="D768" s="113"/>
      <c r="E768" s="113" t="s">
        <v>7025</v>
      </c>
      <c r="F768" s="267">
        <v>4</v>
      </c>
      <c r="G768" s="268">
        <v>4259</v>
      </c>
      <c r="H768" s="274">
        <v>12.36</v>
      </c>
      <c r="I768" s="274" t="s">
        <v>2657</v>
      </c>
      <c r="J768" s="113" t="s">
        <v>7026</v>
      </c>
      <c r="K768" s="116">
        <v>11.56</v>
      </c>
      <c r="L768" s="266" t="s">
        <v>3956</v>
      </c>
      <c r="M768" s="266" t="s">
        <v>2835</v>
      </c>
      <c r="N768" s="113" t="s">
        <v>66</v>
      </c>
      <c r="O768" s="113"/>
      <c r="P768" s="113"/>
      <c r="Q768" s="113">
        <v>27726.64</v>
      </c>
      <c r="R768" s="113">
        <v>320519.9584</v>
      </c>
      <c r="S768" s="121">
        <v>172701</v>
      </c>
      <c r="T768" s="292">
        <f t="shared" si="241"/>
        <v>147818.9584</v>
      </c>
      <c r="U768" s="113"/>
      <c r="V768" s="113">
        <v>803</v>
      </c>
      <c r="W768" s="113">
        <v>560</v>
      </c>
      <c r="X768" s="113"/>
      <c r="Y768" s="113" t="s">
        <v>2669</v>
      </c>
      <c r="Z768" s="113"/>
      <c r="AA768" s="113"/>
      <c r="AB768" s="113" t="s">
        <v>3925</v>
      </c>
      <c r="AC768" s="113">
        <f>1797-W768</f>
        <v>1237</v>
      </c>
      <c r="AD768" s="113"/>
      <c r="AE768" s="133"/>
      <c r="AF768" s="115"/>
      <c r="AG768" s="133"/>
      <c r="AH768" s="133"/>
      <c r="AI768" s="132">
        <f t="shared" ref="AI768:AI775" si="247">S768+U768+V768+W768+X768+AC768+AD768+AE768</f>
        <v>175301</v>
      </c>
      <c r="AJ768" s="132">
        <f t="shared" ref="AJ768:AJ775" si="248">S768+U768+V768+W768+X768</f>
        <v>174064</v>
      </c>
      <c r="AK768" s="133">
        <f t="shared" ref="AK768:AK775" si="249">AI768-AJ768</f>
        <v>1237</v>
      </c>
      <c r="AL768" s="132"/>
      <c r="AM768" s="133" t="s">
        <v>900</v>
      </c>
      <c r="AN768" s="246">
        <v>44867</v>
      </c>
      <c r="AO768" s="137"/>
      <c r="AP768" s="97"/>
      <c r="AQ768" s="97"/>
      <c r="AR768" s="97"/>
      <c r="AS768" s="97"/>
      <c r="AT768" s="97"/>
      <c r="AU768" s="97"/>
      <c r="AV768" s="97"/>
      <c r="AW768" s="97"/>
      <c r="AX768" s="97"/>
      <c r="AY768" s="97"/>
      <c r="AZ768" s="97"/>
      <c r="BA768" s="97"/>
      <c r="BB768" s="97"/>
      <c r="BC768" s="97"/>
      <c r="BD768" s="97"/>
      <c r="BE768" s="97"/>
    </row>
    <row r="769" s="96" customFormat="1" customHeight="1" spans="1:57">
      <c r="A769" s="115" t="s">
        <v>7027</v>
      </c>
      <c r="B769" s="111" t="s">
        <v>7028</v>
      </c>
      <c r="C769" s="554" t="s">
        <v>7029</v>
      </c>
      <c r="D769" s="113" t="s">
        <v>7030</v>
      </c>
      <c r="E769" s="113">
        <v>13903933368</v>
      </c>
      <c r="F769" s="267">
        <v>1</v>
      </c>
      <c r="G769" s="268">
        <v>1653</v>
      </c>
      <c r="H769" s="274">
        <v>13.63</v>
      </c>
      <c r="I769" s="274" t="s">
        <v>2657</v>
      </c>
      <c r="J769" s="113" t="s">
        <v>7031</v>
      </c>
      <c r="K769" s="113">
        <v>11.45</v>
      </c>
      <c r="L769" s="266" t="s">
        <v>3686</v>
      </c>
      <c r="M769" s="266" t="s">
        <v>3686</v>
      </c>
      <c r="N769" s="113" t="s">
        <v>66</v>
      </c>
      <c r="O769" s="113"/>
      <c r="P769" s="113"/>
      <c r="Q769" s="113">
        <v>47923.23</v>
      </c>
      <c r="R769" s="113">
        <v>548721</v>
      </c>
      <c r="S769" s="121">
        <v>278721</v>
      </c>
      <c r="T769" s="292">
        <f t="shared" si="241"/>
        <v>270000</v>
      </c>
      <c r="U769" s="113"/>
      <c r="V769" s="113"/>
      <c r="W769" s="113"/>
      <c r="X769" s="113"/>
      <c r="Y769" s="113"/>
      <c r="Z769" s="113"/>
      <c r="AA769" s="113"/>
      <c r="AB769" s="113"/>
      <c r="AC769" s="113"/>
      <c r="AD769" s="113"/>
      <c r="AE769" s="133"/>
      <c r="AF769" s="115"/>
      <c r="AG769" s="133"/>
      <c r="AH769" s="133"/>
      <c r="AI769" s="132">
        <f t="shared" si="247"/>
        <v>278721</v>
      </c>
      <c r="AJ769" s="132">
        <f t="shared" si="248"/>
        <v>278721</v>
      </c>
      <c r="AK769" s="133">
        <f t="shared" si="249"/>
        <v>0</v>
      </c>
      <c r="AL769" s="132"/>
      <c r="AM769" s="133" t="s">
        <v>900</v>
      </c>
      <c r="AN769" s="246">
        <v>44867</v>
      </c>
      <c r="AO769" s="137"/>
      <c r="AP769" s="97"/>
      <c r="AQ769" s="97"/>
      <c r="AR769" s="97"/>
      <c r="AS769" s="97"/>
      <c r="AT769" s="97"/>
      <c r="AU769" s="97"/>
      <c r="AV769" s="97"/>
      <c r="AW769" s="97"/>
      <c r="AX769" s="97"/>
      <c r="AY769" s="97"/>
      <c r="AZ769" s="97"/>
      <c r="BA769" s="97"/>
      <c r="BB769" s="97"/>
      <c r="BC769" s="97"/>
      <c r="BD769" s="97"/>
      <c r="BE769" s="97"/>
    </row>
    <row r="770" s="93" customFormat="1" customHeight="1" spans="1:57">
      <c r="A770" s="115" t="s">
        <v>7032</v>
      </c>
      <c r="B770" s="111" t="s">
        <v>7033</v>
      </c>
      <c r="C770" s="111" t="s">
        <v>7034</v>
      </c>
      <c r="D770" s="121" t="s">
        <v>7035</v>
      </c>
      <c r="E770" s="113">
        <v>13700850554</v>
      </c>
      <c r="F770" s="267">
        <v>3</v>
      </c>
      <c r="G770" s="268">
        <v>3570</v>
      </c>
      <c r="H770" s="274">
        <v>9.94</v>
      </c>
      <c r="I770" s="274" t="s">
        <v>2657</v>
      </c>
      <c r="J770" s="113" t="s">
        <v>7036</v>
      </c>
      <c r="K770" s="113">
        <v>8.91</v>
      </c>
      <c r="L770" s="266" t="s">
        <v>2968</v>
      </c>
      <c r="M770" s="266" t="s">
        <v>2739</v>
      </c>
      <c r="N770" s="113" t="s">
        <v>66</v>
      </c>
      <c r="O770" s="113"/>
      <c r="P770" s="113"/>
      <c r="Q770" s="113">
        <v>32884.4</v>
      </c>
      <c r="R770" s="113">
        <v>293000</v>
      </c>
      <c r="S770" s="121">
        <v>153000</v>
      </c>
      <c r="T770" s="292">
        <f t="shared" si="241"/>
        <v>140000</v>
      </c>
      <c r="U770" s="113"/>
      <c r="V770" s="113"/>
      <c r="W770" s="113"/>
      <c r="X770" s="113"/>
      <c r="Y770" s="113"/>
      <c r="Z770" s="113"/>
      <c r="AA770" s="113"/>
      <c r="AB770" s="113"/>
      <c r="AC770" s="113"/>
      <c r="AD770" s="113"/>
      <c r="AE770" s="133"/>
      <c r="AF770" s="115"/>
      <c r="AG770" s="133"/>
      <c r="AH770" s="133"/>
      <c r="AI770" s="132">
        <f t="shared" si="247"/>
        <v>153000</v>
      </c>
      <c r="AJ770" s="132">
        <f t="shared" si="248"/>
        <v>153000</v>
      </c>
      <c r="AK770" s="133">
        <f t="shared" si="249"/>
        <v>0</v>
      </c>
      <c r="AL770" s="132"/>
      <c r="AM770" s="133" t="s">
        <v>900</v>
      </c>
      <c r="AN770" s="246">
        <v>44867</v>
      </c>
      <c r="AO770" s="137"/>
      <c r="AP770" s="97"/>
      <c r="AQ770" s="97"/>
      <c r="AR770" s="97"/>
      <c r="AS770" s="97"/>
      <c r="AT770" s="97"/>
      <c r="AU770" s="97"/>
      <c r="AV770" s="97"/>
      <c r="AW770" s="97"/>
      <c r="AX770" s="97"/>
      <c r="AY770" s="97"/>
      <c r="AZ770" s="97"/>
      <c r="BA770" s="97"/>
      <c r="BB770" s="97"/>
      <c r="BC770" s="97"/>
      <c r="BD770" s="97"/>
      <c r="BE770" s="97"/>
    </row>
    <row r="771" s="96" customFormat="1" customHeight="1" spans="1:57">
      <c r="A771" s="115" t="s">
        <v>7037</v>
      </c>
      <c r="B771" s="111" t="s">
        <v>7038</v>
      </c>
      <c r="C771" s="554" t="s">
        <v>7039</v>
      </c>
      <c r="D771" s="113" t="s">
        <v>7040</v>
      </c>
      <c r="E771" s="113">
        <v>13839603176</v>
      </c>
      <c r="F771" s="267">
        <v>1</v>
      </c>
      <c r="G771" s="268">
        <v>1182</v>
      </c>
      <c r="H771" s="274">
        <v>16.07</v>
      </c>
      <c r="I771" s="274" t="s">
        <v>2657</v>
      </c>
      <c r="J771" s="113" t="s">
        <v>7041</v>
      </c>
      <c r="K771" s="116">
        <v>14.56</v>
      </c>
      <c r="L771" s="266" t="s">
        <v>6197</v>
      </c>
      <c r="M771" s="266" t="s">
        <v>6197</v>
      </c>
      <c r="N771" s="113" t="s">
        <v>66</v>
      </c>
      <c r="O771" s="113"/>
      <c r="P771" s="113"/>
      <c r="Q771" s="113">
        <v>48346.63</v>
      </c>
      <c r="R771" s="113">
        <v>703927</v>
      </c>
      <c r="S771" s="121">
        <v>353927</v>
      </c>
      <c r="T771" s="292">
        <f t="shared" si="241"/>
        <v>350000</v>
      </c>
      <c r="U771" s="113"/>
      <c r="V771" s="113"/>
      <c r="W771" s="113"/>
      <c r="X771" s="113"/>
      <c r="Y771" s="113"/>
      <c r="Z771" s="113"/>
      <c r="AA771" s="113"/>
      <c r="AB771" s="113"/>
      <c r="AC771" s="113"/>
      <c r="AD771" s="113"/>
      <c r="AE771" s="133"/>
      <c r="AF771" s="115"/>
      <c r="AG771" s="133"/>
      <c r="AH771" s="133"/>
      <c r="AI771" s="132">
        <f t="shared" si="247"/>
        <v>353927</v>
      </c>
      <c r="AJ771" s="132">
        <f t="shared" si="248"/>
        <v>353927</v>
      </c>
      <c r="AK771" s="133">
        <f t="shared" si="249"/>
        <v>0</v>
      </c>
      <c r="AL771" s="132"/>
      <c r="AM771" s="133" t="s">
        <v>900</v>
      </c>
      <c r="AN771" s="246">
        <v>44886</v>
      </c>
      <c r="AO771" s="137"/>
      <c r="AP771" s="97"/>
      <c r="AQ771" s="97"/>
      <c r="AR771" s="97"/>
      <c r="AS771" s="97"/>
      <c r="AT771" s="97"/>
      <c r="AU771" s="97"/>
      <c r="AV771" s="97"/>
      <c r="AW771" s="97"/>
      <c r="AX771" s="97"/>
      <c r="AY771" s="97"/>
      <c r="AZ771" s="97"/>
      <c r="BA771" s="97"/>
      <c r="BB771" s="97"/>
      <c r="BC771" s="97"/>
      <c r="BD771" s="97"/>
      <c r="BE771" s="97"/>
    </row>
    <row r="772" s="96" customFormat="1" customHeight="1" spans="1:57">
      <c r="A772" s="115" t="s">
        <v>7042</v>
      </c>
      <c r="B772" s="296" t="s">
        <v>7043</v>
      </c>
      <c r="C772" s="556" t="s">
        <v>7044</v>
      </c>
      <c r="D772" s="267" t="s">
        <v>7045</v>
      </c>
      <c r="E772" s="267">
        <v>15903645666</v>
      </c>
      <c r="F772" s="267">
        <v>2</v>
      </c>
      <c r="G772" s="268">
        <v>256</v>
      </c>
      <c r="H772" s="274">
        <v>37.72</v>
      </c>
      <c r="I772" s="274" t="s">
        <v>2665</v>
      </c>
      <c r="J772" s="267" t="s">
        <v>7046</v>
      </c>
      <c r="K772" s="326">
        <v>25.88</v>
      </c>
      <c r="L772" s="268" t="s">
        <v>2711</v>
      </c>
      <c r="M772" s="268" t="s">
        <v>7047</v>
      </c>
      <c r="N772" s="267" t="s">
        <v>66</v>
      </c>
      <c r="O772" s="267"/>
      <c r="P772" s="267"/>
      <c r="Q772" s="274">
        <v>29623.72</v>
      </c>
      <c r="R772" s="267">
        <v>766662</v>
      </c>
      <c r="S772" s="292">
        <v>386662</v>
      </c>
      <c r="T772" s="292">
        <f t="shared" si="241"/>
        <v>380000</v>
      </c>
      <c r="U772" s="267"/>
      <c r="V772" s="267"/>
      <c r="W772" s="267"/>
      <c r="X772" s="267"/>
      <c r="Y772" s="267"/>
      <c r="Z772" s="267"/>
      <c r="AA772" s="267"/>
      <c r="AB772" s="267"/>
      <c r="AC772" s="113"/>
      <c r="AD772" s="113"/>
      <c r="AE772" s="133"/>
      <c r="AF772" s="115"/>
      <c r="AG772" s="133"/>
      <c r="AH772" s="133"/>
      <c r="AI772" s="132">
        <f t="shared" si="247"/>
        <v>386662</v>
      </c>
      <c r="AJ772" s="132">
        <f t="shared" si="248"/>
        <v>386662</v>
      </c>
      <c r="AK772" s="133">
        <f t="shared" si="249"/>
        <v>0</v>
      </c>
      <c r="AL772" s="132"/>
      <c r="AM772" s="133" t="s">
        <v>900</v>
      </c>
      <c r="AN772" s="246">
        <v>44867</v>
      </c>
      <c r="AO772" s="137"/>
      <c r="AP772" s="97"/>
      <c r="AQ772" s="97"/>
      <c r="AR772" s="97"/>
      <c r="AS772" s="97"/>
      <c r="AT772" s="97"/>
      <c r="AU772" s="97"/>
      <c r="AV772" s="97"/>
      <c r="AW772" s="97"/>
      <c r="AX772" s="97"/>
      <c r="AY772" s="97"/>
      <c r="AZ772" s="97"/>
      <c r="BA772" s="97"/>
      <c r="BB772" s="97"/>
      <c r="BC772" s="97"/>
      <c r="BD772" s="97"/>
      <c r="BE772" s="97"/>
    </row>
    <row r="773" s="96" customFormat="1" customHeight="1" spans="1:57">
      <c r="A773" s="115" t="s">
        <v>7048</v>
      </c>
      <c r="B773" s="111" t="s">
        <v>7049</v>
      </c>
      <c r="C773" s="554" t="s">
        <v>7050</v>
      </c>
      <c r="D773" s="113" t="s">
        <v>7051</v>
      </c>
      <c r="E773" s="113">
        <v>13733168172</v>
      </c>
      <c r="F773" s="267">
        <v>4</v>
      </c>
      <c r="G773" s="268">
        <v>4512</v>
      </c>
      <c r="H773" s="274">
        <v>9.27</v>
      </c>
      <c r="I773" s="274" t="s">
        <v>2657</v>
      </c>
      <c r="J773" s="113" t="s">
        <v>7052</v>
      </c>
      <c r="K773" s="113">
        <v>11.27</v>
      </c>
      <c r="L773" s="266" t="s">
        <v>3205</v>
      </c>
      <c r="M773" s="266" t="s">
        <v>2739</v>
      </c>
      <c r="N773" s="113" t="s">
        <v>66</v>
      </c>
      <c r="O773" s="113"/>
      <c r="P773" s="113"/>
      <c r="Q773" s="113">
        <v>27468.59</v>
      </c>
      <c r="R773" s="113">
        <v>309571</v>
      </c>
      <c r="S773" s="121">
        <v>159571</v>
      </c>
      <c r="T773" s="292">
        <f t="shared" si="241"/>
        <v>150000</v>
      </c>
      <c r="U773" s="113"/>
      <c r="V773" s="113"/>
      <c r="W773" s="113"/>
      <c r="X773" s="113"/>
      <c r="Y773" s="113"/>
      <c r="Z773" s="113"/>
      <c r="AA773" s="113"/>
      <c r="AB773" s="113"/>
      <c r="AC773" s="113"/>
      <c r="AD773" s="113"/>
      <c r="AE773" s="133"/>
      <c r="AF773" s="115"/>
      <c r="AG773" s="133"/>
      <c r="AH773" s="133"/>
      <c r="AI773" s="132">
        <f t="shared" si="247"/>
        <v>159571</v>
      </c>
      <c r="AJ773" s="132">
        <f t="shared" si="248"/>
        <v>159571</v>
      </c>
      <c r="AK773" s="133">
        <f t="shared" si="249"/>
        <v>0</v>
      </c>
      <c r="AL773" s="132"/>
      <c r="AM773" s="133" t="s">
        <v>900</v>
      </c>
      <c r="AN773" s="246">
        <v>44867</v>
      </c>
      <c r="AO773" s="137"/>
      <c r="AP773" s="97"/>
      <c r="AQ773" s="97"/>
      <c r="AR773" s="97"/>
      <c r="AS773" s="97"/>
      <c r="AT773" s="97"/>
      <c r="AU773" s="97"/>
      <c r="AV773" s="97"/>
      <c r="AW773" s="97"/>
      <c r="AX773" s="97"/>
      <c r="AY773" s="97"/>
      <c r="AZ773" s="97"/>
      <c r="BA773" s="97"/>
      <c r="BB773" s="97"/>
      <c r="BC773" s="97"/>
      <c r="BD773" s="97"/>
      <c r="BE773" s="97"/>
    </row>
    <row r="774" s="96" customFormat="1" customHeight="1" spans="1:57">
      <c r="A774" s="115" t="s">
        <v>7053</v>
      </c>
      <c r="B774" s="111" t="s">
        <v>7054</v>
      </c>
      <c r="C774" s="554" t="s">
        <v>7055</v>
      </c>
      <c r="D774" s="113" t="s">
        <v>7056</v>
      </c>
      <c r="E774" s="113">
        <v>13818040176</v>
      </c>
      <c r="F774" s="267">
        <v>1</v>
      </c>
      <c r="G774" s="268">
        <v>189</v>
      </c>
      <c r="H774" s="274">
        <v>25.18</v>
      </c>
      <c r="I774" s="274" t="s">
        <v>2657</v>
      </c>
      <c r="J774" s="113" t="s">
        <v>7057</v>
      </c>
      <c r="K774" s="116">
        <v>18.1</v>
      </c>
      <c r="L774" s="266" t="s">
        <v>3514</v>
      </c>
      <c r="M774" s="266" t="s">
        <v>6803</v>
      </c>
      <c r="N774" s="113" t="s">
        <v>66</v>
      </c>
      <c r="O774" s="113"/>
      <c r="P774" s="113"/>
      <c r="Q774" s="113">
        <v>47267.24</v>
      </c>
      <c r="R774" s="113">
        <v>855537</v>
      </c>
      <c r="S774" s="121">
        <v>435537</v>
      </c>
      <c r="T774" s="292">
        <f t="shared" si="241"/>
        <v>420000</v>
      </c>
      <c r="U774" s="113"/>
      <c r="V774" s="113"/>
      <c r="W774" s="113"/>
      <c r="X774" s="113"/>
      <c r="Y774" s="113"/>
      <c r="Z774" s="113"/>
      <c r="AA774" s="113"/>
      <c r="AB774" s="113"/>
      <c r="AC774" s="113"/>
      <c r="AD774" s="113"/>
      <c r="AE774" s="133"/>
      <c r="AF774" s="115"/>
      <c r="AG774" s="133"/>
      <c r="AH774" s="133"/>
      <c r="AI774" s="132">
        <f t="shared" si="247"/>
        <v>435537</v>
      </c>
      <c r="AJ774" s="132">
        <f t="shared" si="248"/>
        <v>435537</v>
      </c>
      <c r="AK774" s="133">
        <f t="shared" si="249"/>
        <v>0</v>
      </c>
      <c r="AL774" s="132"/>
      <c r="AM774" s="133" t="s">
        <v>900</v>
      </c>
      <c r="AN774" s="246">
        <v>44867</v>
      </c>
      <c r="AO774" s="137"/>
      <c r="AP774" s="97"/>
      <c r="AQ774" s="97"/>
      <c r="AR774" s="97"/>
      <c r="AS774" s="97"/>
      <c r="AT774" s="97"/>
      <c r="AU774" s="97"/>
      <c r="AV774" s="97"/>
      <c r="AW774" s="97"/>
      <c r="AX774" s="97"/>
      <c r="AY774" s="97"/>
      <c r="AZ774" s="97"/>
      <c r="BA774" s="97"/>
      <c r="BB774" s="97"/>
      <c r="BC774" s="97"/>
      <c r="BD774" s="97"/>
      <c r="BE774" s="97"/>
    </row>
    <row r="775" s="96" customFormat="1" customHeight="1" spans="1:57">
      <c r="A775" s="115" t="s">
        <v>7058</v>
      </c>
      <c r="B775" s="111" t="s">
        <v>7059</v>
      </c>
      <c r="C775" s="554" t="s">
        <v>7060</v>
      </c>
      <c r="D775" s="113" t="s">
        <v>7061</v>
      </c>
      <c r="E775" s="113">
        <v>18239933551</v>
      </c>
      <c r="F775" s="267">
        <v>1</v>
      </c>
      <c r="G775" s="268">
        <v>1652</v>
      </c>
      <c r="H775" s="274">
        <v>24.1</v>
      </c>
      <c r="I775" s="274" t="s">
        <v>2657</v>
      </c>
      <c r="J775" s="113" t="s">
        <v>7062</v>
      </c>
      <c r="K775" s="113">
        <v>22.97</v>
      </c>
      <c r="L775" s="266" t="s">
        <v>4670</v>
      </c>
      <c r="M775" s="266" t="s">
        <v>4369</v>
      </c>
      <c r="N775" s="113" t="s">
        <v>56</v>
      </c>
      <c r="O775" s="113"/>
      <c r="P775" s="113"/>
      <c r="Q775" s="113">
        <v>45164.52</v>
      </c>
      <c r="R775" s="113">
        <v>1037429</v>
      </c>
      <c r="S775" s="121">
        <v>1037429</v>
      </c>
      <c r="T775" s="292">
        <f t="shared" si="241"/>
        <v>0</v>
      </c>
      <c r="U775" s="113"/>
      <c r="V775" s="113"/>
      <c r="W775" s="113"/>
      <c r="X775" s="113"/>
      <c r="Y775" s="113"/>
      <c r="Z775" s="113"/>
      <c r="AA775" s="113"/>
      <c r="AB775" s="113"/>
      <c r="AC775" s="113"/>
      <c r="AD775" s="113"/>
      <c r="AE775" s="133"/>
      <c r="AF775" s="115"/>
      <c r="AG775" s="133"/>
      <c r="AH775" s="133"/>
      <c r="AI775" s="132">
        <f t="shared" si="247"/>
        <v>1037429</v>
      </c>
      <c r="AJ775" s="132">
        <f t="shared" si="248"/>
        <v>1037429</v>
      </c>
      <c r="AK775" s="133">
        <f t="shared" si="249"/>
        <v>0</v>
      </c>
      <c r="AL775" s="132"/>
      <c r="AM775" s="133" t="s">
        <v>900</v>
      </c>
      <c r="AN775" s="246">
        <v>44867</v>
      </c>
      <c r="AO775" s="137"/>
      <c r="AP775" s="97"/>
      <c r="AQ775" s="97"/>
      <c r="AR775" s="97"/>
      <c r="AS775" s="97"/>
      <c r="AT775" s="97"/>
      <c r="AU775" s="97"/>
      <c r="AV775" s="97"/>
      <c r="AW775" s="97"/>
      <c r="AX775" s="97"/>
      <c r="AY775" s="97"/>
      <c r="AZ775" s="97"/>
      <c r="BA775" s="97"/>
      <c r="BB775" s="97"/>
      <c r="BC775" s="97"/>
      <c r="BD775" s="97"/>
      <c r="BE775" s="97"/>
    </row>
    <row r="776" s="96" customFormat="1" customHeight="1" spans="1:57">
      <c r="A776" s="115" t="s">
        <v>7063</v>
      </c>
      <c r="B776" s="111" t="s">
        <v>7064</v>
      </c>
      <c r="C776" s="111" t="s">
        <v>7065</v>
      </c>
      <c r="D776" s="113" t="s">
        <v>7066</v>
      </c>
      <c r="E776" s="113">
        <v>17320181377</v>
      </c>
      <c r="F776" s="267">
        <v>1</v>
      </c>
      <c r="G776" s="268">
        <v>175</v>
      </c>
      <c r="H776" s="274">
        <v>22.36</v>
      </c>
      <c r="I776" s="274" t="s">
        <v>2657</v>
      </c>
      <c r="J776" s="113" t="s">
        <v>7067</v>
      </c>
      <c r="K776" s="116">
        <v>25.4</v>
      </c>
      <c r="L776" s="266" t="s">
        <v>3016</v>
      </c>
      <c r="M776" s="266" t="s">
        <v>2763</v>
      </c>
      <c r="N776" s="113" t="s">
        <v>66</v>
      </c>
      <c r="O776" s="113"/>
      <c r="P776" s="113"/>
      <c r="Q776" s="113">
        <v>47744.69</v>
      </c>
      <c r="R776" s="113">
        <v>1067571</v>
      </c>
      <c r="S776" s="121">
        <v>617571</v>
      </c>
      <c r="T776" s="121"/>
      <c r="U776" s="113">
        <v>450000</v>
      </c>
      <c r="V776" s="113">
        <v>1453</v>
      </c>
      <c r="W776" s="113">
        <v>550</v>
      </c>
      <c r="X776" s="113"/>
      <c r="Y776" s="113" t="s">
        <v>2669</v>
      </c>
      <c r="Z776" s="113" t="s">
        <v>48</v>
      </c>
      <c r="AA776" s="305">
        <v>44020</v>
      </c>
      <c r="AB776" s="113" t="s">
        <v>7068</v>
      </c>
      <c r="AC776" s="113">
        <v>1265</v>
      </c>
      <c r="AD776" s="113"/>
      <c r="AE776" s="133"/>
      <c r="AF776" s="115"/>
      <c r="AG776" s="133"/>
      <c r="AH776" s="133"/>
      <c r="AI776" s="132">
        <f t="shared" ref="AI776:AI780" si="250">S776+U776+V776+W776+X776+AC776+AD776+AE776</f>
        <v>1070839</v>
      </c>
      <c r="AJ776" s="132">
        <f t="shared" ref="AJ776:AJ780" si="251">S776+U776+V776+W776+X776</f>
        <v>1069574</v>
      </c>
      <c r="AK776" s="133">
        <f t="shared" ref="AK776:AK780" si="252">AI776-AJ776</f>
        <v>1265</v>
      </c>
      <c r="AL776" s="132"/>
      <c r="AM776" s="133" t="s">
        <v>900</v>
      </c>
      <c r="AN776" s="246">
        <v>44867</v>
      </c>
      <c r="AO776" s="137"/>
      <c r="AP776" s="97"/>
      <c r="AQ776" s="97"/>
      <c r="AR776" s="97"/>
      <c r="AS776" s="97"/>
      <c r="AT776" s="97"/>
      <c r="AU776" s="97"/>
      <c r="AV776" s="97"/>
      <c r="AW776" s="97"/>
      <c r="AX776" s="97"/>
      <c r="AY776" s="97"/>
      <c r="AZ776" s="97"/>
      <c r="BA776" s="97"/>
      <c r="BB776" s="97"/>
      <c r="BC776" s="97"/>
      <c r="BD776" s="97"/>
      <c r="BE776" s="97"/>
    </row>
    <row r="777" s="96" customFormat="1" customHeight="1" spans="1:57">
      <c r="A777" s="115" t="s">
        <v>7069</v>
      </c>
      <c r="B777" s="296" t="s">
        <v>7070</v>
      </c>
      <c r="C777" s="296" t="s">
        <v>7071</v>
      </c>
      <c r="D777" s="267" t="s">
        <v>7072</v>
      </c>
      <c r="E777" s="267">
        <v>18503867375</v>
      </c>
      <c r="F777" s="267">
        <v>3</v>
      </c>
      <c r="G777" s="268">
        <v>330</v>
      </c>
      <c r="H777" s="274">
        <v>18.39</v>
      </c>
      <c r="I777" s="274" t="s">
        <v>2665</v>
      </c>
      <c r="J777" s="267" t="s">
        <v>7073</v>
      </c>
      <c r="K777" s="274">
        <v>30.3</v>
      </c>
      <c r="L777" s="268" t="s">
        <v>2684</v>
      </c>
      <c r="M777" s="268" t="s">
        <v>3252</v>
      </c>
      <c r="N777" s="267" t="s">
        <v>66</v>
      </c>
      <c r="O777" s="267"/>
      <c r="P777" s="267"/>
      <c r="Q777" s="274">
        <v>25501.58</v>
      </c>
      <c r="R777" s="267">
        <v>775122</v>
      </c>
      <c r="S777" s="292">
        <v>395122</v>
      </c>
      <c r="T777" s="292">
        <f t="shared" ref="T777:T829" si="253">R777-S777</f>
        <v>380000</v>
      </c>
      <c r="U777" s="267"/>
      <c r="V777" s="267"/>
      <c r="W777" s="267"/>
      <c r="X777" s="267"/>
      <c r="Y777" s="267"/>
      <c r="Z777" s="267"/>
      <c r="AA777" s="267"/>
      <c r="AB777" s="267"/>
      <c r="AC777" s="113"/>
      <c r="AD777" s="113"/>
      <c r="AE777" s="133"/>
      <c r="AF777" s="115"/>
      <c r="AG777" s="133"/>
      <c r="AH777" s="133"/>
      <c r="AI777" s="132">
        <f t="shared" si="250"/>
        <v>395122</v>
      </c>
      <c r="AJ777" s="132">
        <f t="shared" si="251"/>
        <v>395122</v>
      </c>
      <c r="AK777" s="133">
        <f t="shared" si="252"/>
        <v>0</v>
      </c>
      <c r="AL777" s="132"/>
      <c r="AM777" s="133" t="s">
        <v>900</v>
      </c>
      <c r="AN777" s="246">
        <v>44867</v>
      </c>
      <c r="AO777" s="137"/>
      <c r="AP777" s="97"/>
      <c r="AQ777" s="97"/>
      <c r="AR777" s="97"/>
      <c r="AS777" s="97"/>
      <c r="AT777" s="97"/>
      <c r="AU777" s="97"/>
      <c r="AV777" s="97"/>
      <c r="AW777" s="97"/>
      <c r="AX777" s="97"/>
      <c r="AY777" s="97"/>
      <c r="AZ777" s="97"/>
      <c r="BA777" s="97"/>
      <c r="BB777" s="97"/>
      <c r="BC777" s="97"/>
      <c r="BD777" s="97"/>
      <c r="BE777" s="97"/>
    </row>
    <row r="778" s="96" customFormat="1" customHeight="1" spans="1:57">
      <c r="A778" s="115" t="s">
        <v>7074</v>
      </c>
      <c r="B778" s="111" t="s">
        <v>7075</v>
      </c>
      <c r="C778" s="111" t="s">
        <v>7076</v>
      </c>
      <c r="D778" s="121" t="s">
        <v>7077</v>
      </c>
      <c r="E778" s="113">
        <v>13703929158</v>
      </c>
      <c r="F778" s="267">
        <v>3</v>
      </c>
      <c r="G778" s="268">
        <v>3283</v>
      </c>
      <c r="H778" s="274">
        <v>18.03</v>
      </c>
      <c r="I778" s="274" t="s">
        <v>2657</v>
      </c>
      <c r="J778" s="113" t="s">
        <v>7078</v>
      </c>
      <c r="K778" s="116">
        <v>16.86</v>
      </c>
      <c r="L778" s="266" t="s">
        <v>4311</v>
      </c>
      <c r="M778" s="266" t="s">
        <v>4670</v>
      </c>
      <c r="N778" s="113" t="s">
        <v>66</v>
      </c>
      <c r="O778" s="113"/>
      <c r="P778" s="113"/>
      <c r="Q778" s="113">
        <v>31853.8</v>
      </c>
      <c r="R778" s="113">
        <v>537055</v>
      </c>
      <c r="S778" s="121">
        <v>277055</v>
      </c>
      <c r="T778" s="292">
        <f t="shared" si="253"/>
        <v>260000</v>
      </c>
      <c r="U778" s="113"/>
      <c r="V778" s="113"/>
      <c r="W778" s="113"/>
      <c r="X778" s="113"/>
      <c r="Y778" s="113"/>
      <c r="Z778" s="113"/>
      <c r="AA778" s="113"/>
      <c r="AB778" s="113"/>
      <c r="AC778" s="113"/>
      <c r="AD778" s="113"/>
      <c r="AE778" s="133"/>
      <c r="AF778" s="115"/>
      <c r="AG778" s="133"/>
      <c r="AH778" s="133"/>
      <c r="AI778" s="132">
        <f t="shared" si="250"/>
        <v>277055</v>
      </c>
      <c r="AJ778" s="132">
        <f t="shared" si="251"/>
        <v>277055</v>
      </c>
      <c r="AK778" s="133">
        <f t="shared" si="252"/>
        <v>0</v>
      </c>
      <c r="AL778" s="132"/>
      <c r="AM778" s="133" t="s">
        <v>900</v>
      </c>
      <c r="AN778" s="246">
        <v>44867</v>
      </c>
      <c r="AO778" s="137"/>
      <c r="AP778" s="97"/>
      <c r="AQ778" s="97"/>
      <c r="AR778" s="97"/>
      <c r="AS778" s="97"/>
      <c r="AT778" s="97"/>
      <c r="AU778" s="97"/>
      <c r="AV778" s="97"/>
      <c r="AW778" s="97"/>
      <c r="AX778" s="97"/>
      <c r="AY778" s="97"/>
      <c r="AZ778" s="97"/>
      <c r="BA778" s="97"/>
      <c r="BB778" s="97"/>
      <c r="BC778" s="97"/>
      <c r="BD778" s="97"/>
      <c r="BE778" s="97"/>
    </row>
    <row r="779" s="96" customFormat="1" customHeight="1" spans="1:57">
      <c r="A779" s="337" t="s">
        <v>7079</v>
      </c>
      <c r="B779" s="111" t="s">
        <v>7080</v>
      </c>
      <c r="C779" s="111" t="s">
        <v>7081</v>
      </c>
      <c r="D779" s="121" t="s">
        <v>7082</v>
      </c>
      <c r="E779" s="113">
        <v>13014582085</v>
      </c>
      <c r="F779" s="267">
        <v>3</v>
      </c>
      <c r="G779" s="268">
        <v>317</v>
      </c>
      <c r="H779" s="274">
        <v>24.78</v>
      </c>
      <c r="I779" s="274" t="s">
        <v>2657</v>
      </c>
      <c r="J779" s="113" t="s">
        <v>7083</v>
      </c>
      <c r="K779" s="116">
        <v>24.16</v>
      </c>
      <c r="L779" s="266" t="s">
        <v>2961</v>
      </c>
      <c r="M779" s="266" t="s">
        <v>3061</v>
      </c>
      <c r="N779" s="113" t="s">
        <v>56</v>
      </c>
      <c r="O779" s="113"/>
      <c r="P779" s="113"/>
      <c r="Q779" s="113">
        <v>30215.23</v>
      </c>
      <c r="R779" s="113">
        <v>730000</v>
      </c>
      <c r="S779" s="121">
        <v>730000</v>
      </c>
      <c r="T779" s="292">
        <f t="shared" si="253"/>
        <v>0</v>
      </c>
      <c r="U779" s="113"/>
      <c r="V779" s="113"/>
      <c r="W779" s="113"/>
      <c r="X779" s="113"/>
      <c r="Y779" s="113"/>
      <c r="Z779" s="113"/>
      <c r="AA779" s="113"/>
      <c r="AB779" s="113"/>
      <c r="AC779" s="113"/>
      <c r="AD779" s="113"/>
      <c r="AE779" s="133"/>
      <c r="AF779" s="115"/>
      <c r="AG779" s="133"/>
      <c r="AH779" s="133"/>
      <c r="AI779" s="132">
        <f t="shared" si="250"/>
        <v>730000</v>
      </c>
      <c r="AJ779" s="341"/>
      <c r="AK779" s="133">
        <f t="shared" si="252"/>
        <v>730000</v>
      </c>
      <c r="AL779" s="342" t="s">
        <v>6885</v>
      </c>
      <c r="AM779" s="133" t="s">
        <v>900</v>
      </c>
      <c r="AN779" s="246">
        <v>44867</v>
      </c>
      <c r="AO779" s="137"/>
      <c r="AP779" s="97"/>
      <c r="AQ779" s="97"/>
      <c r="AR779" s="97"/>
      <c r="AS779" s="97"/>
      <c r="AT779" s="97"/>
      <c r="AU779" s="97"/>
      <c r="AV779" s="97"/>
      <c r="AW779" s="97"/>
      <c r="AX779" s="97"/>
      <c r="AY779" s="97"/>
      <c r="AZ779" s="97"/>
      <c r="BA779" s="97"/>
      <c r="BB779" s="97"/>
      <c r="BC779" s="97"/>
      <c r="BD779" s="97"/>
      <c r="BE779" s="97"/>
    </row>
    <row r="780" s="96" customFormat="1" customHeight="1" spans="1:57">
      <c r="A780" s="115" t="s">
        <v>7084</v>
      </c>
      <c r="B780" s="111" t="s">
        <v>7085</v>
      </c>
      <c r="C780" s="554" t="s">
        <v>7086</v>
      </c>
      <c r="D780" s="113" t="s">
        <v>7087</v>
      </c>
      <c r="E780" s="113">
        <v>18638770693</v>
      </c>
      <c r="F780" s="267">
        <v>1</v>
      </c>
      <c r="G780" s="268">
        <v>1560</v>
      </c>
      <c r="H780" s="274">
        <v>16.77</v>
      </c>
      <c r="I780" s="274" t="s">
        <v>2657</v>
      </c>
      <c r="J780" s="113" t="s">
        <v>7088</v>
      </c>
      <c r="K780" s="116">
        <v>16.47</v>
      </c>
      <c r="L780" s="266" t="s">
        <v>2806</v>
      </c>
      <c r="M780" s="266" t="s">
        <v>6803</v>
      </c>
      <c r="N780" s="113" t="s">
        <v>56</v>
      </c>
      <c r="O780" s="113"/>
      <c r="P780" s="113"/>
      <c r="Q780" s="113">
        <v>46751.73</v>
      </c>
      <c r="R780" s="113">
        <v>770001</v>
      </c>
      <c r="S780" s="121">
        <v>770001</v>
      </c>
      <c r="T780" s="292">
        <f t="shared" si="253"/>
        <v>0</v>
      </c>
      <c r="U780" s="113"/>
      <c r="V780" s="113"/>
      <c r="W780" s="113"/>
      <c r="X780" s="113"/>
      <c r="Y780" s="113"/>
      <c r="Z780" s="113"/>
      <c r="AA780" s="113"/>
      <c r="AB780" s="113"/>
      <c r="AC780" s="113"/>
      <c r="AD780" s="113"/>
      <c r="AE780" s="133"/>
      <c r="AF780" s="115"/>
      <c r="AG780" s="133"/>
      <c r="AH780" s="133"/>
      <c r="AI780" s="132">
        <f t="shared" si="250"/>
        <v>770001</v>
      </c>
      <c r="AJ780" s="132">
        <f t="shared" si="251"/>
        <v>770001</v>
      </c>
      <c r="AK780" s="133">
        <f t="shared" si="252"/>
        <v>0</v>
      </c>
      <c r="AL780" s="132"/>
      <c r="AM780" s="133" t="s">
        <v>900</v>
      </c>
      <c r="AN780" s="246">
        <v>44867</v>
      </c>
      <c r="AO780" s="137"/>
      <c r="AP780" s="97"/>
      <c r="AQ780" s="97"/>
      <c r="AR780" s="97"/>
      <c r="AS780" s="97"/>
      <c r="AT780" s="97"/>
      <c r="AU780" s="97"/>
      <c r="AV780" s="97"/>
      <c r="AW780" s="97"/>
      <c r="AX780" s="97"/>
      <c r="AY780" s="97"/>
      <c r="AZ780" s="97"/>
      <c r="BA780" s="97"/>
      <c r="BB780" s="97"/>
      <c r="BC780" s="97"/>
      <c r="BD780" s="97"/>
      <c r="BE780" s="97"/>
    </row>
    <row r="781" s="93" customFormat="1" customHeight="1" spans="1:57">
      <c r="A781" s="115" t="s">
        <v>7089</v>
      </c>
      <c r="B781" s="296" t="s">
        <v>7090</v>
      </c>
      <c r="C781" s="556" t="s">
        <v>7091</v>
      </c>
      <c r="D781" s="267" t="s">
        <v>7092</v>
      </c>
      <c r="E781" s="267">
        <v>17788128223</v>
      </c>
      <c r="F781" s="267">
        <v>4</v>
      </c>
      <c r="G781" s="268">
        <v>491</v>
      </c>
      <c r="H781" s="274">
        <v>16.77</v>
      </c>
      <c r="I781" s="274" t="s">
        <v>2665</v>
      </c>
      <c r="J781" s="267" t="s">
        <v>7093</v>
      </c>
      <c r="K781" s="326">
        <v>22.98</v>
      </c>
      <c r="L781" s="268" t="s">
        <v>2711</v>
      </c>
      <c r="M781" s="268" t="s">
        <v>7094</v>
      </c>
      <c r="N781" s="267" t="s">
        <v>66</v>
      </c>
      <c r="O781" s="267"/>
      <c r="P781" s="267"/>
      <c r="Q781" s="274">
        <v>20594.3429068755</v>
      </c>
      <c r="R781" s="267">
        <v>473258</v>
      </c>
      <c r="S781" s="292">
        <v>243258</v>
      </c>
      <c r="T781" s="292">
        <f t="shared" si="253"/>
        <v>230000</v>
      </c>
      <c r="U781" s="267"/>
      <c r="V781" s="267"/>
      <c r="W781" s="267"/>
      <c r="X781" s="267"/>
      <c r="Y781" s="267"/>
      <c r="Z781" s="267"/>
      <c r="AA781" s="267"/>
      <c r="AB781" s="267"/>
      <c r="AC781" s="113"/>
      <c r="AD781" s="113"/>
      <c r="AE781" s="133"/>
      <c r="AF781" s="115"/>
      <c r="AG781" s="133"/>
      <c r="AH781" s="133"/>
      <c r="AI781" s="132">
        <f t="shared" ref="AI781:AI791" si="254">S781+U781+V781+W781+X781+AC781+AD781+AE781</f>
        <v>243258</v>
      </c>
      <c r="AJ781" s="132">
        <f t="shared" ref="AJ781:AJ791" si="255">S781+U781+V781+W781+X781</f>
        <v>243258</v>
      </c>
      <c r="AK781" s="133">
        <f t="shared" ref="AK781:AK791" si="256">AI781-AJ781</f>
        <v>0</v>
      </c>
      <c r="AL781" s="132"/>
      <c r="AM781" s="133" t="s">
        <v>900</v>
      </c>
      <c r="AN781" s="246">
        <v>44867</v>
      </c>
      <c r="AO781" s="137"/>
      <c r="AP781" s="97"/>
      <c r="AQ781" s="97"/>
      <c r="AR781" s="97"/>
      <c r="AS781" s="97"/>
      <c r="AT781" s="97"/>
      <c r="AU781" s="97"/>
      <c r="AV781" s="97"/>
      <c r="AW781" s="97"/>
      <c r="AX781" s="97"/>
      <c r="AY781" s="97"/>
      <c r="AZ781" s="97"/>
      <c r="BA781" s="97"/>
      <c r="BB781" s="97"/>
      <c r="BC781" s="97"/>
      <c r="BD781" s="97"/>
      <c r="BE781" s="97"/>
    </row>
    <row r="782" s="93" customFormat="1" customHeight="1" spans="1:57">
      <c r="A782" s="115" t="s">
        <v>7095</v>
      </c>
      <c r="B782" s="111" t="s">
        <v>7096</v>
      </c>
      <c r="C782" s="554" t="s">
        <v>7097</v>
      </c>
      <c r="D782" s="113" t="s">
        <v>7098</v>
      </c>
      <c r="E782" s="113">
        <v>15638186838</v>
      </c>
      <c r="F782" s="267">
        <v>1</v>
      </c>
      <c r="G782" s="268">
        <v>1579</v>
      </c>
      <c r="H782" s="274">
        <v>20.92</v>
      </c>
      <c r="I782" s="274" t="s">
        <v>2657</v>
      </c>
      <c r="J782" s="113" t="s">
        <v>7099</v>
      </c>
      <c r="K782" s="116">
        <v>20.23</v>
      </c>
      <c r="L782" s="266" t="s">
        <v>3911</v>
      </c>
      <c r="M782" s="266" t="s">
        <v>3163</v>
      </c>
      <c r="N782" s="113" t="s">
        <v>56</v>
      </c>
      <c r="O782" s="113"/>
      <c r="P782" s="113"/>
      <c r="Q782" s="113">
        <v>46317.15</v>
      </c>
      <c r="R782" s="113">
        <v>968955</v>
      </c>
      <c r="S782" s="121">
        <v>968955</v>
      </c>
      <c r="T782" s="292">
        <f t="shared" si="253"/>
        <v>0</v>
      </c>
      <c r="U782" s="113"/>
      <c r="V782" s="113">
        <v>1359</v>
      </c>
      <c r="W782" s="113">
        <v>550</v>
      </c>
      <c r="X782" s="113"/>
      <c r="Y782" s="113" t="s">
        <v>2669</v>
      </c>
      <c r="Z782" s="113" t="s">
        <v>48</v>
      </c>
      <c r="AA782" s="304">
        <v>44050</v>
      </c>
      <c r="AB782" s="113"/>
      <c r="AC782" s="113"/>
      <c r="AD782" s="113"/>
      <c r="AE782" s="133"/>
      <c r="AF782" s="115"/>
      <c r="AG782" s="133"/>
      <c r="AH782" s="133"/>
      <c r="AI782" s="132">
        <f t="shared" si="254"/>
        <v>970864</v>
      </c>
      <c r="AJ782" s="132">
        <f t="shared" si="255"/>
        <v>970864</v>
      </c>
      <c r="AK782" s="133">
        <f t="shared" si="256"/>
        <v>0</v>
      </c>
      <c r="AL782" s="132"/>
      <c r="AM782" s="133" t="s">
        <v>900</v>
      </c>
      <c r="AN782" s="246">
        <v>44867</v>
      </c>
      <c r="AO782" s="137"/>
      <c r="AP782" s="97"/>
      <c r="AQ782" s="97"/>
      <c r="AR782" s="97"/>
      <c r="AS782" s="97"/>
      <c r="AT782" s="97"/>
      <c r="AU782" s="97"/>
      <c r="AV782" s="97"/>
      <c r="AW782" s="97"/>
      <c r="AX782" s="97"/>
      <c r="AY782" s="97"/>
      <c r="AZ782" s="97"/>
      <c r="BA782" s="97"/>
      <c r="BB782" s="97"/>
      <c r="BC782" s="97"/>
      <c r="BD782" s="97"/>
      <c r="BE782" s="97"/>
    </row>
    <row r="783" s="93" customFormat="1" customHeight="1" spans="1:57">
      <c r="A783" s="115" t="s">
        <v>7100</v>
      </c>
      <c r="B783" s="111" t="s">
        <v>7101</v>
      </c>
      <c r="C783" s="111" t="s">
        <v>7102</v>
      </c>
      <c r="D783" s="121" t="s">
        <v>7103</v>
      </c>
      <c r="E783" s="113">
        <v>15037209124</v>
      </c>
      <c r="F783" s="267">
        <v>3</v>
      </c>
      <c r="G783" s="268">
        <v>3722</v>
      </c>
      <c r="H783" s="274">
        <v>14.17</v>
      </c>
      <c r="I783" s="274" t="s">
        <v>2657</v>
      </c>
      <c r="J783" s="113" t="s">
        <v>7104</v>
      </c>
      <c r="K783" s="113">
        <v>12.82</v>
      </c>
      <c r="L783" s="266" t="s">
        <v>2955</v>
      </c>
      <c r="M783" s="266" t="s">
        <v>2854</v>
      </c>
      <c r="N783" s="113" t="s">
        <v>66</v>
      </c>
      <c r="O783" s="113"/>
      <c r="P783" s="113"/>
      <c r="Q783" s="113">
        <v>32735.34</v>
      </c>
      <c r="R783" s="113">
        <v>419667</v>
      </c>
      <c r="S783" s="121">
        <v>219667</v>
      </c>
      <c r="T783" s="292">
        <f t="shared" si="253"/>
        <v>200000</v>
      </c>
      <c r="U783" s="113"/>
      <c r="V783" s="113"/>
      <c r="W783" s="113"/>
      <c r="X783" s="113"/>
      <c r="Y783" s="113"/>
      <c r="Z783" s="113"/>
      <c r="AA783" s="113"/>
      <c r="AB783" s="113"/>
      <c r="AC783" s="113"/>
      <c r="AD783" s="113"/>
      <c r="AE783" s="133"/>
      <c r="AF783" s="115"/>
      <c r="AG783" s="133"/>
      <c r="AH783" s="133"/>
      <c r="AI783" s="132">
        <f t="shared" si="254"/>
        <v>219667</v>
      </c>
      <c r="AJ783" s="132">
        <f t="shared" si="255"/>
        <v>219667</v>
      </c>
      <c r="AK783" s="133">
        <f t="shared" si="256"/>
        <v>0</v>
      </c>
      <c r="AL783" s="132"/>
      <c r="AM783" s="133" t="s">
        <v>900</v>
      </c>
      <c r="AN783" s="246">
        <v>44867</v>
      </c>
      <c r="AO783" s="137"/>
      <c r="AP783" s="97"/>
      <c r="AQ783" s="97"/>
      <c r="AR783" s="97"/>
      <c r="AS783" s="97"/>
      <c r="AT783" s="97"/>
      <c r="AU783" s="97"/>
      <c r="AV783" s="97"/>
      <c r="AW783" s="97"/>
      <c r="AX783" s="97"/>
      <c r="AY783" s="97"/>
      <c r="AZ783" s="97"/>
      <c r="BA783" s="97"/>
      <c r="BB783" s="97"/>
      <c r="BC783" s="97"/>
      <c r="BD783" s="97"/>
      <c r="BE783" s="97"/>
    </row>
    <row r="784" s="93" customFormat="1" customHeight="1" spans="1:57">
      <c r="A784" s="115" t="s">
        <v>7105</v>
      </c>
      <c r="B784" s="111" t="s">
        <v>7106</v>
      </c>
      <c r="C784" s="554" t="s">
        <v>7107</v>
      </c>
      <c r="D784" s="113" t="s">
        <v>7108</v>
      </c>
      <c r="E784" s="113">
        <v>15290855551</v>
      </c>
      <c r="F784" s="267">
        <v>1</v>
      </c>
      <c r="G784" s="268">
        <v>142</v>
      </c>
      <c r="H784" s="274">
        <v>24.43</v>
      </c>
      <c r="I784" s="274" t="s">
        <v>2657</v>
      </c>
      <c r="J784" s="113" t="s">
        <v>7109</v>
      </c>
      <c r="K784" s="116">
        <v>18.63</v>
      </c>
      <c r="L784" s="266" t="s">
        <v>3497</v>
      </c>
      <c r="M784" s="266" t="s">
        <v>3497</v>
      </c>
      <c r="N784" s="113" t="s">
        <v>66</v>
      </c>
      <c r="O784" s="113"/>
      <c r="P784" s="113"/>
      <c r="Q784" s="113">
        <v>47452.93</v>
      </c>
      <c r="R784" s="113">
        <v>884048</v>
      </c>
      <c r="S784" s="121">
        <v>444048</v>
      </c>
      <c r="T784" s="292">
        <f t="shared" si="253"/>
        <v>440000</v>
      </c>
      <c r="U784" s="113"/>
      <c r="V784" s="113"/>
      <c r="W784" s="113"/>
      <c r="X784" s="113"/>
      <c r="Y784" s="113"/>
      <c r="Z784" s="113"/>
      <c r="AA784" s="113"/>
      <c r="AB784" s="113"/>
      <c r="AC784" s="113"/>
      <c r="AD784" s="113"/>
      <c r="AE784" s="133"/>
      <c r="AF784" s="115"/>
      <c r="AG784" s="133"/>
      <c r="AH784" s="133"/>
      <c r="AI784" s="132">
        <f t="shared" si="254"/>
        <v>444048</v>
      </c>
      <c r="AJ784" s="132">
        <f t="shared" si="255"/>
        <v>444048</v>
      </c>
      <c r="AK784" s="133">
        <f t="shared" si="256"/>
        <v>0</v>
      </c>
      <c r="AL784" s="132"/>
      <c r="AM784" s="133" t="s">
        <v>900</v>
      </c>
      <c r="AN784" s="246">
        <v>44867</v>
      </c>
      <c r="AO784" s="137"/>
      <c r="AP784" s="97"/>
      <c r="AQ784" s="97"/>
      <c r="AR784" s="97"/>
      <c r="AS784" s="97"/>
      <c r="AT784" s="97"/>
      <c r="AU784" s="97"/>
      <c r="AV784" s="97"/>
      <c r="AW784" s="97"/>
      <c r="AX784" s="97"/>
      <c r="AY784" s="97"/>
      <c r="AZ784" s="97"/>
      <c r="BA784" s="97"/>
      <c r="BB784" s="97"/>
      <c r="BC784" s="97"/>
      <c r="BD784" s="97"/>
      <c r="BE784" s="97"/>
    </row>
    <row r="785" s="96" customFormat="1" customHeight="1" spans="1:57">
      <c r="A785" s="115" t="s">
        <v>7110</v>
      </c>
      <c r="B785" s="336" t="s">
        <v>7111</v>
      </c>
      <c r="C785" s="554" t="s">
        <v>7112</v>
      </c>
      <c r="D785" s="113"/>
      <c r="E785" s="113">
        <v>13526782928</v>
      </c>
      <c r="F785" s="267">
        <v>1</v>
      </c>
      <c r="G785" s="268">
        <v>1643</v>
      </c>
      <c r="H785" s="274">
        <v>17.68</v>
      </c>
      <c r="I785" s="274" t="s">
        <v>2657</v>
      </c>
      <c r="J785" s="113" t="s">
        <v>7113</v>
      </c>
      <c r="K785" s="113">
        <v>15.49</v>
      </c>
      <c r="L785" s="266" t="s">
        <v>7114</v>
      </c>
      <c r="M785" s="266"/>
      <c r="N785" s="113" t="s">
        <v>66</v>
      </c>
      <c r="O785" s="113"/>
      <c r="P785" s="113"/>
      <c r="Q785" s="113"/>
      <c r="R785" s="113"/>
      <c r="S785" s="121">
        <v>25000</v>
      </c>
      <c r="T785" s="292">
        <f t="shared" si="253"/>
        <v>-25000</v>
      </c>
      <c r="U785" s="267"/>
      <c r="V785" s="267"/>
      <c r="W785" s="267"/>
      <c r="X785" s="267"/>
      <c r="Y785" s="267"/>
      <c r="Z785" s="267"/>
      <c r="AA785" s="267"/>
      <c r="AB785" s="267" t="s">
        <v>7115</v>
      </c>
      <c r="AC785" s="113"/>
      <c r="AD785" s="113"/>
      <c r="AE785" s="133"/>
      <c r="AF785" s="115"/>
      <c r="AG785" s="133"/>
      <c r="AH785" s="133"/>
      <c r="AI785" s="132">
        <f t="shared" si="254"/>
        <v>25000</v>
      </c>
      <c r="AJ785" s="132">
        <f t="shared" si="255"/>
        <v>25000</v>
      </c>
      <c r="AK785" s="133">
        <f t="shared" si="256"/>
        <v>0</v>
      </c>
      <c r="AL785" s="132"/>
      <c r="AM785" s="133" t="s">
        <v>900</v>
      </c>
      <c r="AN785" s="246">
        <v>44867</v>
      </c>
      <c r="AO785" s="137"/>
      <c r="AP785" s="97"/>
      <c r="AQ785" s="97"/>
      <c r="AR785" s="97"/>
      <c r="AS785" s="97"/>
      <c r="AT785" s="97"/>
      <c r="AU785" s="97"/>
      <c r="AV785" s="97"/>
      <c r="AW785" s="97"/>
      <c r="AX785" s="97"/>
      <c r="AY785" s="97"/>
      <c r="AZ785" s="97"/>
      <c r="BA785" s="97"/>
      <c r="BB785" s="97"/>
      <c r="BC785" s="97"/>
      <c r="BD785" s="97"/>
      <c r="BE785" s="97"/>
    </row>
    <row r="786" s="96" customFormat="1" customHeight="1" spans="1:57">
      <c r="A786" s="115" t="s">
        <v>7116</v>
      </c>
      <c r="B786" s="296" t="s">
        <v>7117</v>
      </c>
      <c r="C786" s="556" t="s">
        <v>7118</v>
      </c>
      <c r="D786" s="267" t="s">
        <v>7119</v>
      </c>
      <c r="E786" s="267">
        <v>17703843396</v>
      </c>
      <c r="F786" s="267">
        <v>2</v>
      </c>
      <c r="G786" s="268">
        <v>249</v>
      </c>
      <c r="H786" s="274">
        <v>27.04</v>
      </c>
      <c r="I786" s="274" t="s">
        <v>2665</v>
      </c>
      <c r="J786" s="267" t="s">
        <v>7120</v>
      </c>
      <c r="K786" s="326">
        <v>23.4</v>
      </c>
      <c r="L786" s="268" t="s">
        <v>2711</v>
      </c>
      <c r="M786" s="268" t="s">
        <v>4028</v>
      </c>
      <c r="N786" s="267" t="s">
        <v>66</v>
      </c>
      <c r="O786" s="267"/>
      <c r="P786" s="267"/>
      <c r="Q786" s="274">
        <v>30294.1025641026</v>
      </c>
      <c r="R786" s="267">
        <v>708882</v>
      </c>
      <c r="S786" s="292">
        <v>358882</v>
      </c>
      <c r="T786" s="292">
        <f t="shared" si="253"/>
        <v>350000</v>
      </c>
      <c r="U786" s="267"/>
      <c r="V786" s="267"/>
      <c r="W786" s="267"/>
      <c r="X786" s="267"/>
      <c r="Y786" s="267"/>
      <c r="Z786" s="267"/>
      <c r="AA786" s="267"/>
      <c r="AB786" s="113"/>
      <c r="AC786" s="113"/>
      <c r="AD786" s="113"/>
      <c r="AE786" s="133"/>
      <c r="AF786" s="115"/>
      <c r="AG786" s="133"/>
      <c r="AH786" s="133"/>
      <c r="AI786" s="132">
        <f t="shared" si="254"/>
        <v>358882</v>
      </c>
      <c r="AJ786" s="132">
        <f t="shared" si="255"/>
        <v>358882</v>
      </c>
      <c r="AK786" s="133">
        <f t="shared" si="256"/>
        <v>0</v>
      </c>
      <c r="AL786" s="132"/>
      <c r="AM786" s="133" t="s">
        <v>900</v>
      </c>
      <c r="AN786" s="246">
        <v>44867</v>
      </c>
      <c r="AO786" s="137"/>
      <c r="AP786" s="97"/>
      <c r="AQ786" s="97"/>
      <c r="AR786" s="97"/>
      <c r="AS786" s="97"/>
      <c r="AT786" s="97"/>
      <c r="AU786" s="97"/>
      <c r="AV786" s="97"/>
      <c r="AW786" s="97"/>
      <c r="AX786" s="97"/>
      <c r="AY786" s="97"/>
      <c r="AZ786" s="97"/>
      <c r="BA786" s="97"/>
      <c r="BB786" s="97"/>
      <c r="BC786" s="97"/>
      <c r="BD786" s="97"/>
      <c r="BE786" s="97"/>
    </row>
    <row r="787" s="96" customFormat="1" customHeight="1" spans="1:57">
      <c r="A787" s="115" t="s">
        <v>7121</v>
      </c>
      <c r="B787" s="296" t="s">
        <v>7122</v>
      </c>
      <c r="C787" s="343" t="s">
        <v>7123</v>
      </c>
      <c r="D787" s="267" t="s">
        <v>7124</v>
      </c>
      <c r="E787" s="268" t="s">
        <v>7125</v>
      </c>
      <c r="F787" s="267">
        <v>2</v>
      </c>
      <c r="G787" s="268">
        <v>2222</v>
      </c>
      <c r="H787" s="274">
        <v>12.34</v>
      </c>
      <c r="I787" s="274" t="s">
        <v>2665</v>
      </c>
      <c r="J787" s="267" t="s">
        <v>7126</v>
      </c>
      <c r="K787" s="274">
        <v>24.13</v>
      </c>
      <c r="L787" s="268" t="s">
        <v>2711</v>
      </c>
      <c r="M787" s="268" t="s">
        <v>2941</v>
      </c>
      <c r="N787" s="267" t="s">
        <v>56</v>
      </c>
      <c r="O787" s="267"/>
      <c r="P787" s="267"/>
      <c r="Q787" s="274">
        <v>30294.1152092831</v>
      </c>
      <c r="R787" s="267">
        <v>373829</v>
      </c>
      <c r="S787" s="292">
        <v>373829</v>
      </c>
      <c r="T787" s="292">
        <f t="shared" si="253"/>
        <v>0</v>
      </c>
      <c r="U787" s="267"/>
      <c r="V787" s="267">
        <v>802</v>
      </c>
      <c r="W787" s="267">
        <v>550</v>
      </c>
      <c r="X787" s="267"/>
      <c r="Y787" s="267" t="s">
        <v>2669</v>
      </c>
      <c r="Z787" s="267" t="s">
        <v>48</v>
      </c>
      <c r="AA787" s="304">
        <v>44132</v>
      </c>
      <c r="AB787" s="267"/>
      <c r="AC787" s="113"/>
      <c r="AD787" s="113"/>
      <c r="AE787" s="133"/>
      <c r="AF787" s="115"/>
      <c r="AG787" s="133"/>
      <c r="AH787" s="133"/>
      <c r="AI787" s="132">
        <f t="shared" si="254"/>
        <v>375181</v>
      </c>
      <c r="AJ787" s="132">
        <f t="shared" si="255"/>
        <v>375181</v>
      </c>
      <c r="AK787" s="133">
        <f t="shared" si="256"/>
        <v>0</v>
      </c>
      <c r="AL787" s="132"/>
      <c r="AM787" s="133" t="s">
        <v>900</v>
      </c>
      <c r="AN787" s="246">
        <v>44867</v>
      </c>
      <c r="AO787" s="137"/>
      <c r="AP787" s="97"/>
      <c r="AQ787" s="97"/>
      <c r="AR787" s="97"/>
      <c r="AS787" s="97"/>
      <c r="AT787" s="97"/>
      <c r="AU787" s="97"/>
      <c r="AV787" s="97"/>
      <c r="AW787" s="97"/>
      <c r="AX787" s="97"/>
      <c r="AY787" s="97"/>
      <c r="AZ787" s="97"/>
      <c r="BA787" s="97"/>
      <c r="BB787" s="97"/>
      <c r="BC787" s="97"/>
      <c r="BD787" s="97"/>
      <c r="BE787" s="97"/>
    </row>
    <row r="788" s="96" customFormat="1" customHeight="1" spans="1:57">
      <c r="A788" s="115" t="s">
        <v>7127</v>
      </c>
      <c r="B788" s="111" t="s">
        <v>7128</v>
      </c>
      <c r="C788" s="554" t="s">
        <v>7129</v>
      </c>
      <c r="D788" s="113" t="s">
        <v>7130</v>
      </c>
      <c r="E788" s="113">
        <v>15603738260</v>
      </c>
      <c r="F788" s="267">
        <v>1</v>
      </c>
      <c r="G788" s="268">
        <v>1691</v>
      </c>
      <c r="H788" s="274">
        <v>14.73</v>
      </c>
      <c r="I788" s="274" t="s">
        <v>2657</v>
      </c>
      <c r="J788" s="113" t="s">
        <v>7131</v>
      </c>
      <c r="K788" s="113">
        <v>14.66</v>
      </c>
      <c r="L788" s="266" t="s">
        <v>3048</v>
      </c>
      <c r="M788" s="266" t="s">
        <v>3538</v>
      </c>
      <c r="N788" s="113" t="s">
        <v>66</v>
      </c>
      <c r="O788" s="113"/>
      <c r="P788" s="113"/>
      <c r="Q788" s="113">
        <v>47672.24</v>
      </c>
      <c r="R788" s="113">
        <v>698875</v>
      </c>
      <c r="S788" s="121">
        <v>358875</v>
      </c>
      <c r="T788" s="292">
        <f t="shared" si="253"/>
        <v>340000</v>
      </c>
      <c r="U788" s="113"/>
      <c r="V788" s="113"/>
      <c r="W788" s="113"/>
      <c r="X788" s="113"/>
      <c r="Y788" s="113"/>
      <c r="Z788" s="113"/>
      <c r="AA788" s="113"/>
      <c r="AB788" s="113"/>
      <c r="AC788" s="113"/>
      <c r="AD788" s="113"/>
      <c r="AE788" s="133"/>
      <c r="AF788" s="115"/>
      <c r="AG788" s="133"/>
      <c r="AH788" s="133"/>
      <c r="AI788" s="132">
        <f t="shared" si="254"/>
        <v>358875</v>
      </c>
      <c r="AJ788" s="132">
        <f t="shared" si="255"/>
        <v>358875</v>
      </c>
      <c r="AK788" s="133">
        <f t="shared" si="256"/>
        <v>0</v>
      </c>
      <c r="AL788" s="132"/>
      <c r="AM788" s="133" t="s">
        <v>900</v>
      </c>
      <c r="AN788" s="246">
        <v>44867</v>
      </c>
      <c r="AO788" s="137"/>
      <c r="AP788" s="97"/>
      <c r="AQ788" s="97"/>
      <c r="AR788" s="97"/>
      <c r="AS788" s="97"/>
      <c r="AT788" s="97"/>
      <c r="AU788" s="97"/>
      <c r="AV788" s="97"/>
      <c r="AW788" s="97"/>
      <c r="AX788" s="97"/>
      <c r="AY788" s="97"/>
      <c r="AZ788" s="97"/>
      <c r="BA788" s="97"/>
      <c r="BB788" s="97"/>
      <c r="BC788" s="97"/>
      <c r="BD788" s="97"/>
      <c r="BE788" s="97"/>
    </row>
    <row r="789" s="96" customFormat="1" customHeight="1" spans="1:57">
      <c r="A789" s="115" t="s">
        <v>7132</v>
      </c>
      <c r="B789" s="111" t="s">
        <v>7133</v>
      </c>
      <c r="C789" s="111" t="s">
        <v>7134</v>
      </c>
      <c r="D789" s="113" t="s">
        <v>7135</v>
      </c>
      <c r="E789" s="113" t="s">
        <v>7136</v>
      </c>
      <c r="F789" s="267">
        <v>1</v>
      </c>
      <c r="G789" s="268">
        <v>1673</v>
      </c>
      <c r="H789" s="274">
        <v>16.07</v>
      </c>
      <c r="I789" s="274" t="s">
        <v>2657</v>
      </c>
      <c r="J789" s="266" t="s">
        <v>7137</v>
      </c>
      <c r="K789" s="266">
        <v>17.18</v>
      </c>
      <c r="L789" s="266" t="s">
        <v>3049</v>
      </c>
      <c r="M789" s="266" t="s">
        <v>2928</v>
      </c>
      <c r="N789" s="113" t="s">
        <v>56</v>
      </c>
      <c r="O789" s="113"/>
      <c r="P789" s="113"/>
      <c r="Q789" s="113">
        <v>46517.55</v>
      </c>
      <c r="R789" s="113">
        <v>747537</v>
      </c>
      <c r="S789" s="121">
        <v>747537</v>
      </c>
      <c r="T789" s="292">
        <f t="shared" si="253"/>
        <v>0</v>
      </c>
      <c r="U789" s="113"/>
      <c r="V789" s="113">
        <v>1044</v>
      </c>
      <c r="W789" s="113">
        <v>560</v>
      </c>
      <c r="X789" s="113">
        <v>50030</v>
      </c>
      <c r="Y789" s="113" t="s">
        <v>2669</v>
      </c>
      <c r="Z789" s="267" t="s">
        <v>48</v>
      </c>
      <c r="AA789" s="305">
        <v>44053</v>
      </c>
      <c r="AB789" s="113"/>
      <c r="AC789" s="113"/>
      <c r="AD789" s="113"/>
      <c r="AE789" s="133"/>
      <c r="AF789" s="115"/>
      <c r="AG789" s="133"/>
      <c r="AH789" s="133"/>
      <c r="AI789" s="132">
        <f t="shared" si="254"/>
        <v>799171</v>
      </c>
      <c r="AJ789" s="132">
        <f t="shared" si="255"/>
        <v>799171</v>
      </c>
      <c r="AK789" s="133">
        <f t="shared" si="256"/>
        <v>0</v>
      </c>
      <c r="AL789" s="132"/>
      <c r="AM789" s="133" t="s">
        <v>900</v>
      </c>
      <c r="AN789" s="246">
        <v>44867</v>
      </c>
      <c r="AO789" s="137"/>
      <c r="AP789" s="254"/>
      <c r="AQ789" s="254"/>
      <c r="AR789" s="254"/>
      <c r="AS789" s="254"/>
      <c r="AT789" s="254"/>
      <c r="AU789" s="254"/>
      <c r="AV789" s="254"/>
      <c r="AW789" s="254"/>
      <c r="AX789" s="254"/>
      <c r="AY789" s="254"/>
      <c r="AZ789" s="254"/>
      <c r="BA789" s="254"/>
      <c r="BB789" s="254"/>
      <c r="BC789" s="254"/>
      <c r="BD789" s="254"/>
      <c r="BE789" s="254"/>
    </row>
    <row r="790" s="96" customFormat="1" customHeight="1" spans="1:57">
      <c r="A790" s="115" t="s">
        <v>7138</v>
      </c>
      <c r="B790" s="111" t="s">
        <v>7139</v>
      </c>
      <c r="C790" s="554" t="s">
        <v>7140</v>
      </c>
      <c r="D790" s="113" t="s">
        <v>7141</v>
      </c>
      <c r="E790" s="113">
        <v>18726106550</v>
      </c>
      <c r="F790" s="267">
        <v>1</v>
      </c>
      <c r="G790" s="268">
        <v>1571</v>
      </c>
      <c r="H790" s="274">
        <v>23.25</v>
      </c>
      <c r="I790" s="274" t="s">
        <v>2657</v>
      </c>
      <c r="J790" s="113" t="s">
        <v>7142</v>
      </c>
      <c r="K790" s="116">
        <v>23.89</v>
      </c>
      <c r="L790" s="266" t="s">
        <v>3911</v>
      </c>
      <c r="M790" s="266" t="s">
        <v>3911</v>
      </c>
      <c r="N790" s="113" t="s">
        <v>66</v>
      </c>
      <c r="O790" s="113"/>
      <c r="P790" s="113"/>
      <c r="Q790" s="113">
        <v>47090.83</v>
      </c>
      <c r="R790" s="113">
        <v>1125000</v>
      </c>
      <c r="S790" s="121">
        <v>565000</v>
      </c>
      <c r="T790" s="292">
        <f t="shared" si="253"/>
        <v>560000</v>
      </c>
      <c r="U790" s="113"/>
      <c r="V790" s="113"/>
      <c r="W790" s="113"/>
      <c r="X790" s="113"/>
      <c r="Y790" s="113"/>
      <c r="Z790" s="113"/>
      <c r="AA790" s="113"/>
      <c r="AB790" s="113"/>
      <c r="AC790" s="113"/>
      <c r="AD790" s="113"/>
      <c r="AE790" s="133"/>
      <c r="AF790" s="115"/>
      <c r="AG790" s="133"/>
      <c r="AH790" s="133"/>
      <c r="AI790" s="132">
        <f t="shared" si="254"/>
        <v>565000</v>
      </c>
      <c r="AJ790" s="132">
        <f t="shared" si="255"/>
        <v>565000</v>
      </c>
      <c r="AK790" s="133">
        <f t="shared" si="256"/>
        <v>0</v>
      </c>
      <c r="AL790" s="132"/>
      <c r="AM790" s="133" t="s">
        <v>900</v>
      </c>
      <c r="AN790" s="246">
        <v>44867</v>
      </c>
      <c r="AO790" s="137"/>
      <c r="AP790" s="97"/>
      <c r="AQ790" s="97"/>
      <c r="AR790" s="97"/>
      <c r="AS790" s="97"/>
      <c r="AT790" s="97"/>
      <c r="AU790" s="97"/>
      <c r="AV790" s="97"/>
      <c r="AW790" s="97"/>
      <c r="AX790" s="97"/>
      <c r="AY790" s="97"/>
      <c r="AZ790" s="97"/>
      <c r="BA790" s="97"/>
      <c r="BB790" s="97"/>
      <c r="BC790" s="97"/>
      <c r="BD790" s="97"/>
      <c r="BE790" s="97"/>
    </row>
    <row r="791" s="96" customFormat="1" customHeight="1" spans="1:57">
      <c r="A791" s="115" t="s">
        <v>7143</v>
      </c>
      <c r="B791" s="344" t="s">
        <v>7144</v>
      </c>
      <c r="C791" s="559" t="s">
        <v>7145</v>
      </c>
      <c r="D791" s="345" t="s">
        <v>7146</v>
      </c>
      <c r="E791" s="345">
        <v>13503710716</v>
      </c>
      <c r="F791" s="267">
        <v>1</v>
      </c>
      <c r="G791" s="268">
        <v>1582</v>
      </c>
      <c r="H791" s="274">
        <v>25.68</v>
      </c>
      <c r="I791" s="347" t="s">
        <v>2657</v>
      </c>
      <c r="J791" s="345" t="s">
        <v>7147</v>
      </c>
      <c r="K791" s="347">
        <v>23.95</v>
      </c>
      <c r="L791" s="348" t="s">
        <v>3956</v>
      </c>
      <c r="M791" s="348" t="s">
        <v>4879</v>
      </c>
      <c r="N791" s="345" t="s">
        <v>66</v>
      </c>
      <c r="O791" s="345"/>
      <c r="P791" s="345"/>
      <c r="Q791" s="345">
        <v>47027.89</v>
      </c>
      <c r="R791" s="345">
        <v>1126318</v>
      </c>
      <c r="S791" s="349">
        <v>566318</v>
      </c>
      <c r="T791" s="292">
        <f t="shared" si="253"/>
        <v>560000</v>
      </c>
      <c r="U791" s="345"/>
      <c r="V791" s="345"/>
      <c r="W791" s="345"/>
      <c r="X791" s="345"/>
      <c r="Y791" s="345"/>
      <c r="Z791" s="345"/>
      <c r="AA791" s="345"/>
      <c r="AB791" s="345" t="s">
        <v>7148</v>
      </c>
      <c r="AC791" s="113"/>
      <c r="AD791" s="113"/>
      <c r="AE791" s="133"/>
      <c r="AF791" s="115"/>
      <c r="AG791" s="133"/>
      <c r="AH791" s="133"/>
      <c r="AI791" s="132">
        <f t="shared" si="254"/>
        <v>566318</v>
      </c>
      <c r="AJ791" s="132">
        <f t="shared" si="255"/>
        <v>566318</v>
      </c>
      <c r="AK791" s="133">
        <f t="shared" si="256"/>
        <v>0</v>
      </c>
      <c r="AL791" s="132"/>
      <c r="AM791" s="133" t="s">
        <v>900</v>
      </c>
      <c r="AN791" s="246">
        <v>44867</v>
      </c>
      <c r="AO791" s="137"/>
      <c r="AP791" s="97"/>
      <c r="AQ791" s="97"/>
      <c r="AR791" s="97"/>
      <c r="AS791" s="97"/>
      <c r="AT791" s="97"/>
      <c r="AU791" s="97"/>
      <c r="AV791" s="97"/>
      <c r="AW791" s="97"/>
      <c r="AX791" s="97"/>
      <c r="AY791" s="97"/>
      <c r="AZ791" s="97"/>
      <c r="BA791" s="97"/>
      <c r="BB791" s="97"/>
      <c r="BC791" s="97"/>
      <c r="BD791" s="97"/>
      <c r="BE791" s="97"/>
    </row>
    <row r="792" s="96" customFormat="1" customHeight="1" spans="1:57">
      <c r="A792" s="115" t="s">
        <v>7149</v>
      </c>
      <c r="B792" s="111" t="s">
        <v>7150</v>
      </c>
      <c r="C792" s="111" t="s">
        <v>7151</v>
      </c>
      <c r="D792" s="121" t="s">
        <v>7152</v>
      </c>
      <c r="E792" s="113">
        <v>15538068666</v>
      </c>
      <c r="F792" s="267">
        <v>3</v>
      </c>
      <c r="G792" s="268">
        <v>3467</v>
      </c>
      <c r="H792" s="274">
        <v>32.61</v>
      </c>
      <c r="I792" s="113" t="s">
        <v>2657</v>
      </c>
      <c r="J792" s="113" t="s">
        <v>7153</v>
      </c>
      <c r="K792" s="116">
        <v>31.83</v>
      </c>
      <c r="L792" s="266" t="s">
        <v>5097</v>
      </c>
      <c r="M792" s="266" t="s">
        <v>4515</v>
      </c>
      <c r="N792" s="113" t="s">
        <v>66</v>
      </c>
      <c r="O792" s="113"/>
      <c r="P792" s="113"/>
      <c r="Q792" s="113">
        <v>31290.2</v>
      </c>
      <c r="R792" s="113">
        <v>1020373</v>
      </c>
      <c r="S792" s="121">
        <v>510373</v>
      </c>
      <c r="T792" s="292">
        <f t="shared" si="253"/>
        <v>510000</v>
      </c>
      <c r="U792" s="267"/>
      <c r="V792" s="267"/>
      <c r="W792" s="267"/>
      <c r="X792" s="267"/>
      <c r="Y792" s="267"/>
      <c r="Z792" s="267"/>
      <c r="AA792" s="267"/>
      <c r="AB792" s="267"/>
      <c r="AC792" s="113">
        <v>1271</v>
      </c>
      <c r="AD792" s="113"/>
      <c r="AE792" s="133"/>
      <c r="AF792" s="115"/>
      <c r="AG792" s="133"/>
      <c r="AH792" s="133"/>
      <c r="AI792" s="132">
        <f t="shared" ref="AI792:AI801" si="257">S792+U792+V792+W792+X792+AC792+AD792+AE792</f>
        <v>511644</v>
      </c>
      <c r="AJ792" s="132">
        <f t="shared" ref="AJ792:AJ800" si="258">S792+U792+V792+W792+X792</f>
        <v>510373</v>
      </c>
      <c r="AK792" s="133">
        <f t="shared" ref="AK792:AK801" si="259">AI792-AJ792</f>
        <v>1271</v>
      </c>
      <c r="AL792" s="350" t="s">
        <v>7154</v>
      </c>
      <c r="AM792" s="133" t="s">
        <v>900</v>
      </c>
      <c r="AN792" s="246">
        <v>44867</v>
      </c>
      <c r="AO792" s="137"/>
      <c r="AP792" s="97"/>
      <c r="AQ792" s="97"/>
      <c r="AR792" s="97"/>
      <c r="AS792" s="97"/>
      <c r="AT792" s="97"/>
      <c r="AU792" s="97"/>
      <c r="AV792" s="97"/>
      <c r="AW792" s="97"/>
      <c r="AX792" s="97"/>
      <c r="AY792" s="97"/>
      <c r="AZ792" s="97"/>
      <c r="BA792" s="97"/>
      <c r="BB792" s="97"/>
      <c r="BC792" s="97"/>
      <c r="BD792" s="97"/>
      <c r="BE792" s="97"/>
    </row>
    <row r="793" s="96" customFormat="1" customHeight="1" spans="1:57">
      <c r="A793" s="106" t="s">
        <v>7155</v>
      </c>
      <c r="B793" s="111" t="s">
        <v>7156</v>
      </c>
      <c r="C793" s="554" t="s">
        <v>7157</v>
      </c>
      <c r="D793" s="121" t="s">
        <v>7158</v>
      </c>
      <c r="E793" s="113">
        <v>13311192656</v>
      </c>
      <c r="F793" s="267">
        <v>1</v>
      </c>
      <c r="G793" s="268">
        <v>1106</v>
      </c>
      <c r="H793" s="274">
        <v>23.57</v>
      </c>
      <c r="I793" s="274" t="s">
        <v>2657</v>
      </c>
      <c r="J793" s="113" t="s">
        <v>7159</v>
      </c>
      <c r="K793" s="113">
        <v>23.09</v>
      </c>
      <c r="L793" s="266" t="s">
        <v>3060</v>
      </c>
      <c r="M793" s="266" t="s">
        <v>7160</v>
      </c>
      <c r="N793" s="113" t="s">
        <v>56</v>
      </c>
      <c r="O793" s="113"/>
      <c r="P793" s="113"/>
      <c r="Q793" s="113">
        <v>46338.59</v>
      </c>
      <c r="R793" s="113">
        <v>1092201</v>
      </c>
      <c r="S793" s="121">
        <v>1092201</v>
      </c>
      <c r="T793" s="292">
        <f t="shared" si="253"/>
        <v>0</v>
      </c>
      <c r="U793" s="113"/>
      <c r="V793" s="113">
        <v>1532</v>
      </c>
      <c r="W793" s="113">
        <v>550</v>
      </c>
      <c r="X793" s="113"/>
      <c r="Y793" s="113" t="s">
        <v>2669</v>
      </c>
      <c r="Z793" s="113" t="s">
        <v>48</v>
      </c>
      <c r="AA793" s="113">
        <v>44021</v>
      </c>
      <c r="AB793" s="113" t="s">
        <v>7161</v>
      </c>
      <c r="AC793" s="321"/>
      <c r="AD793" s="115"/>
      <c r="AE793" s="115"/>
      <c r="AF793" s="115"/>
      <c r="AG793" s="115"/>
      <c r="AH793" s="115"/>
      <c r="AI793" s="132">
        <f t="shared" si="257"/>
        <v>1094283</v>
      </c>
      <c r="AJ793" s="132">
        <f t="shared" si="258"/>
        <v>1094283</v>
      </c>
      <c r="AK793" s="133">
        <f t="shared" si="259"/>
        <v>0</v>
      </c>
      <c r="AL793" s="155"/>
      <c r="AM793" s="115" t="s">
        <v>974</v>
      </c>
      <c r="AN793" s="246">
        <v>44886</v>
      </c>
      <c r="AO793" s="137"/>
      <c r="AP793" s="97"/>
      <c r="AQ793" s="97"/>
      <c r="AR793" s="97"/>
      <c r="AS793" s="97"/>
      <c r="AT793" s="97"/>
      <c r="AU793" s="97"/>
      <c r="AV793" s="97"/>
      <c r="AW793" s="97"/>
      <c r="AX793" s="97"/>
      <c r="AY793" s="97"/>
      <c r="AZ793" s="97"/>
      <c r="BA793" s="97"/>
      <c r="BB793" s="97"/>
      <c r="BC793" s="97"/>
      <c r="BD793" s="97"/>
      <c r="BE793" s="97"/>
    </row>
    <row r="794" s="96" customFormat="1" customHeight="1" spans="1:57">
      <c r="A794" s="115" t="s">
        <v>7162</v>
      </c>
      <c r="B794" s="336" t="s">
        <v>7163</v>
      </c>
      <c r="C794" s="554" t="s">
        <v>7164</v>
      </c>
      <c r="D794" s="113" t="s">
        <v>7165</v>
      </c>
      <c r="E794" s="113">
        <v>13623858665</v>
      </c>
      <c r="F794" s="267">
        <v>1</v>
      </c>
      <c r="G794" s="268">
        <v>1383</v>
      </c>
      <c r="H794" s="274">
        <v>31.76</v>
      </c>
      <c r="I794" s="274" t="s">
        <v>2657</v>
      </c>
      <c r="J794" s="113" t="s">
        <v>7166</v>
      </c>
      <c r="K794" s="113">
        <v>25.43</v>
      </c>
      <c r="L794" s="266" t="s">
        <v>5219</v>
      </c>
      <c r="M794" s="266" t="s">
        <v>7167</v>
      </c>
      <c r="N794" s="113" t="s">
        <v>56</v>
      </c>
      <c r="O794" s="113"/>
      <c r="P794" s="113"/>
      <c r="Q794" s="113">
        <v>47936.26</v>
      </c>
      <c r="R794" s="113">
        <v>1219019</v>
      </c>
      <c r="S794" s="121">
        <v>1219019</v>
      </c>
      <c r="T794" s="292">
        <f t="shared" si="253"/>
        <v>0</v>
      </c>
      <c r="U794" s="113"/>
      <c r="V794" s="113"/>
      <c r="W794" s="113"/>
      <c r="X794" s="113"/>
      <c r="Y794" s="113"/>
      <c r="Z794" s="113"/>
      <c r="AA794" s="113"/>
      <c r="AB794" s="113"/>
      <c r="AC794" s="113"/>
      <c r="AD794" s="113"/>
      <c r="AE794" s="133"/>
      <c r="AF794" s="115"/>
      <c r="AG794" s="133"/>
      <c r="AH794" s="133"/>
      <c r="AI794" s="132">
        <f t="shared" si="257"/>
        <v>1219019</v>
      </c>
      <c r="AJ794" s="132">
        <f t="shared" si="258"/>
        <v>1219019</v>
      </c>
      <c r="AK794" s="133">
        <f t="shared" si="259"/>
        <v>0</v>
      </c>
      <c r="AL794" s="132"/>
      <c r="AM794" s="133" t="s">
        <v>900</v>
      </c>
      <c r="AN794" s="246">
        <v>44886</v>
      </c>
      <c r="AO794" s="137"/>
      <c r="AP794" s="97"/>
      <c r="AQ794" s="97"/>
      <c r="AR794" s="97"/>
      <c r="AS794" s="97"/>
      <c r="AT794" s="97"/>
      <c r="AU794" s="97"/>
      <c r="AV794" s="97"/>
      <c r="AW794" s="97"/>
      <c r="AX794" s="97"/>
      <c r="AY794" s="97"/>
      <c r="AZ794" s="97"/>
      <c r="BA794" s="97"/>
      <c r="BB794" s="97"/>
      <c r="BC794" s="97"/>
      <c r="BD794" s="97"/>
      <c r="BE794" s="97"/>
    </row>
    <row r="795" s="96" customFormat="1" customHeight="1" spans="1:57">
      <c r="A795" s="115" t="s">
        <v>7168</v>
      </c>
      <c r="B795" s="296" t="s">
        <v>7169</v>
      </c>
      <c r="C795" s="556" t="s">
        <v>7170</v>
      </c>
      <c r="D795" s="267" t="s">
        <v>7171</v>
      </c>
      <c r="E795" s="267" t="s">
        <v>7172</v>
      </c>
      <c r="F795" s="267">
        <v>3</v>
      </c>
      <c r="G795" s="268">
        <v>332</v>
      </c>
      <c r="H795" s="274">
        <v>17.31</v>
      </c>
      <c r="I795" s="274" t="s">
        <v>2665</v>
      </c>
      <c r="J795" s="267" t="s">
        <v>7173</v>
      </c>
      <c r="K795" s="274">
        <v>23.05</v>
      </c>
      <c r="L795" s="268" t="s">
        <v>2711</v>
      </c>
      <c r="M795" s="268" t="s">
        <v>4709</v>
      </c>
      <c r="N795" s="267" t="s">
        <v>66</v>
      </c>
      <c r="O795" s="267"/>
      <c r="P795" s="267"/>
      <c r="Q795" s="274">
        <v>23359.3492407809</v>
      </c>
      <c r="R795" s="274">
        <v>404350</v>
      </c>
      <c r="S795" s="292">
        <v>274350</v>
      </c>
      <c r="T795" s="292">
        <f t="shared" si="253"/>
        <v>130000</v>
      </c>
      <c r="U795" s="267"/>
      <c r="V795" s="267">
        <v>1125</v>
      </c>
      <c r="W795" s="267">
        <v>560</v>
      </c>
      <c r="X795" s="267">
        <v>2398</v>
      </c>
      <c r="Y795" s="267" t="s">
        <v>2669</v>
      </c>
      <c r="Z795" s="267" t="s">
        <v>48</v>
      </c>
      <c r="AA795" s="304">
        <v>44185</v>
      </c>
      <c r="AB795" s="267"/>
      <c r="AC795" s="113"/>
      <c r="AD795" s="113"/>
      <c r="AE795" s="133"/>
      <c r="AF795" s="115"/>
      <c r="AG795" s="133"/>
      <c r="AH795" s="133"/>
      <c r="AI795" s="132">
        <f t="shared" si="257"/>
        <v>278433</v>
      </c>
      <c r="AJ795" s="132">
        <f t="shared" si="258"/>
        <v>278433</v>
      </c>
      <c r="AK795" s="133">
        <f t="shared" si="259"/>
        <v>0</v>
      </c>
      <c r="AL795" s="132"/>
      <c r="AM795" s="133" t="s">
        <v>900</v>
      </c>
      <c r="AN795" s="246">
        <v>44867</v>
      </c>
      <c r="AO795" s="137"/>
      <c r="AP795" s="97"/>
      <c r="AQ795" s="97"/>
      <c r="AR795" s="97"/>
      <c r="AS795" s="97"/>
      <c r="AT795" s="97"/>
      <c r="AU795" s="97"/>
      <c r="AV795" s="97"/>
      <c r="AW795" s="97"/>
      <c r="AX795" s="97"/>
      <c r="AY795" s="97"/>
      <c r="AZ795" s="97"/>
      <c r="BA795" s="97"/>
      <c r="BB795" s="97"/>
      <c r="BC795" s="97"/>
      <c r="BD795" s="97"/>
      <c r="BE795" s="97"/>
    </row>
    <row r="796" s="96" customFormat="1" customHeight="1" spans="1:57">
      <c r="A796" s="115" t="s">
        <v>7174</v>
      </c>
      <c r="B796" s="111" t="s">
        <v>7175</v>
      </c>
      <c r="C796" s="554" t="s">
        <v>7176</v>
      </c>
      <c r="D796" s="113" t="s">
        <v>7177</v>
      </c>
      <c r="E796" s="113">
        <v>15617700007</v>
      </c>
      <c r="F796" s="267">
        <v>1</v>
      </c>
      <c r="G796" s="268">
        <v>1685</v>
      </c>
      <c r="H796" s="274">
        <v>16.74</v>
      </c>
      <c r="I796" s="274" t="s">
        <v>2657</v>
      </c>
      <c r="J796" s="113" t="s">
        <v>7178</v>
      </c>
      <c r="K796" s="113">
        <v>17.86</v>
      </c>
      <c r="L796" s="266" t="s">
        <v>4587</v>
      </c>
      <c r="M796" s="266" t="s">
        <v>5169</v>
      </c>
      <c r="N796" s="113" t="s">
        <v>66</v>
      </c>
      <c r="O796" s="113"/>
      <c r="P796" s="113"/>
      <c r="Q796" s="113">
        <v>47743.28</v>
      </c>
      <c r="R796" s="113">
        <v>852695</v>
      </c>
      <c r="S796" s="121">
        <v>432695</v>
      </c>
      <c r="T796" s="292">
        <f t="shared" si="253"/>
        <v>420000</v>
      </c>
      <c r="U796" s="113"/>
      <c r="V796" s="113"/>
      <c r="W796" s="113"/>
      <c r="X796" s="113"/>
      <c r="Y796" s="113"/>
      <c r="Z796" s="113"/>
      <c r="AA796" s="113"/>
      <c r="AB796" s="113"/>
      <c r="AC796" s="113"/>
      <c r="AD796" s="113"/>
      <c r="AE796" s="133"/>
      <c r="AF796" s="115"/>
      <c r="AG796" s="133"/>
      <c r="AH796" s="133"/>
      <c r="AI796" s="132">
        <f t="shared" si="257"/>
        <v>432695</v>
      </c>
      <c r="AJ796" s="132">
        <f t="shared" si="258"/>
        <v>432695</v>
      </c>
      <c r="AK796" s="133">
        <f t="shared" si="259"/>
        <v>0</v>
      </c>
      <c r="AL796" s="132"/>
      <c r="AM796" s="133" t="s">
        <v>900</v>
      </c>
      <c r="AN796" s="246">
        <v>44867</v>
      </c>
      <c r="AO796" s="137"/>
      <c r="AP796" s="97"/>
      <c r="AQ796" s="97"/>
      <c r="AR796" s="97"/>
      <c r="AS796" s="97"/>
      <c r="AT796" s="97"/>
      <c r="AU796" s="97"/>
      <c r="AV796" s="97"/>
      <c r="AW796" s="97"/>
      <c r="AX796" s="97"/>
      <c r="AY796" s="97"/>
      <c r="AZ796" s="97"/>
      <c r="BA796" s="97"/>
      <c r="BB796" s="97"/>
      <c r="BC796" s="97"/>
      <c r="BD796" s="97"/>
      <c r="BE796" s="97"/>
    </row>
    <row r="797" s="96" customFormat="1" customHeight="1" spans="1:57">
      <c r="A797" s="115" t="s">
        <v>7179</v>
      </c>
      <c r="B797" s="296" t="s">
        <v>7180</v>
      </c>
      <c r="C797" s="296" t="s">
        <v>7181</v>
      </c>
      <c r="D797" s="267" t="s">
        <v>7182</v>
      </c>
      <c r="E797" s="267">
        <v>15229249095</v>
      </c>
      <c r="F797" s="267">
        <v>2</v>
      </c>
      <c r="G797" s="268">
        <v>255</v>
      </c>
      <c r="H797" s="274">
        <v>22.26</v>
      </c>
      <c r="I797" s="274" t="s">
        <v>2665</v>
      </c>
      <c r="J797" s="267" t="s">
        <v>7183</v>
      </c>
      <c r="K797" s="326">
        <v>20.78</v>
      </c>
      <c r="L797" s="268" t="s">
        <v>2711</v>
      </c>
      <c r="M797" s="268" t="s">
        <v>2799</v>
      </c>
      <c r="N797" s="267" t="s">
        <v>66</v>
      </c>
      <c r="O797" s="267"/>
      <c r="P797" s="267"/>
      <c r="Q797" s="274">
        <v>29318.2868142445</v>
      </c>
      <c r="R797" s="267">
        <v>609234</v>
      </c>
      <c r="S797" s="292">
        <v>309234</v>
      </c>
      <c r="T797" s="292">
        <f t="shared" si="253"/>
        <v>300000</v>
      </c>
      <c r="U797" s="267"/>
      <c r="V797" s="267"/>
      <c r="W797" s="267"/>
      <c r="X797" s="267"/>
      <c r="Y797" s="267"/>
      <c r="Z797" s="267"/>
      <c r="AA797" s="267"/>
      <c r="AB797" s="267"/>
      <c r="AC797" s="113"/>
      <c r="AD797" s="113"/>
      <c r="AE797" s="133"/>
      <c r="AF797" s="115"/>
      <c r="AG797" s="133"/>
      <c r="AH797" s="133"/>
      <c r="AI797" s="132">
        <f t="shared" si="257"/>
        <v>309234</v>
      </c>
      <c r="AJ797" s="132">
        <f t="shared" si="258"/>
        <v>309234</v>
      </c>
      <c r="AK797" s="133">
        <f t="shared" si="259"/>
        <v>0</v>
      </c>
      <c r="AL797" s="132"/>
      <c r="AM797" s="133" t="s">
        <v>900</v>
      </c>
      <c r="AN797" s="246">
        <v>44867</v>
      </c>
      <c r="AO797" s="137"/>
      <c r="AP797" s="97"/>
      <c r="AQ797" s="97"/>
      <c r="AR797" s="97"/>
      <c r="AS797" s="97"/>
      <c r="AT797" s="97"/>
      <c r="AU797" s="97"/>
      <c r="AV797" s="97"/>
      <c r="AW797" s="97"/>
      <c r="AX797" s="97"/>
      <c r="AY797" s="97"/>
      <c r="AZ797" s="97"/>
      <c r="BA797" s="97"/>
      <c r="BB797" s="97"/>
      <c r="BC797" s="97"/>
      <c r="BD797" s="97"/>
      <c r="BE797" s="97"/>
    </row>
    <row r="798" s="96" customFormat="1" customHeight="1" spans="1:57">
      <c r="A798" s="115" t="s">
        <v>7184</v>
      </c>
      <c r="B798" s="111" t="s">
        <v>7185</v>
      </c>
      <c r="C798" s="554" t="s">
        <v>7186</v>
      </c>
      <c r="D798" s="113" t="s">
        <v>7187</v>
      </c>
      <c r="E798" s="113">
        <v>15038168658</v>
      </c>
      <c r="F798" s="267">
        <v>1</v>
      </c>
      <c r="G798" s="268">
        <v>154</v>
      </c>
      <c r="H798" s="274">
        <v>28.12</v>
      </c>
      <c r="I798" s="274" t="s">
        <v>2657</v>
      </c>
      <c r="J798" s="113" t="s">
        <v>7188</v>
      </c>
      <c r="K798" s="116">
        <v>26.82</v>
      </c>
      <c r="L798" s="266" t="s">
        <v>3049</v>
      </c>
      <c r="M798" s="266" t="s">
        <v>2927</v>
      </c>
      <c r="N798" s="113" t="s">
        <v>66</v>
      </c>
      <c r="O798" s="113"/>
      <c r="P798" s="113"/>
      <c r="Q798" s="113">
        <v>48086.24</v>
      </c>
      <c r="R798" s="113">
        <v>1289673</v>
      </c>
      <c r="S798" s="121">
        <v>649673</v>
      </c>
      <c r="T798" s="292">
        <f t="shared" si="253"/>
        <v>640000</v>
      </c>
      <c r="U798" s="113"/>
      <c r="V798" s="113"/>
      <c r="W798" s="113"/>
      <c r="X798" s="113"/>
      <c r="Y798" s="113"/>
      <c r="Z798" s="113"/>
      <c r="AA798" s="113"/>
      <c r="AB798" s="113"/>
      <c r="AC798" s="113"/>
      <c r="AD798" s="113"/>
      <c r="AE798" s="133"/>
      <c r="AF798" s="115"/>
      <c r="AG798" s="133"/>
      <c r="AH798" s="133"/>
      <c r="AI798" s="132">
        <f t="shared" si="257"/>
        <v>649673</v>
      </c>
      <c r="AJ798" s="132">
        <f t="shared" si="258"/>
        <v>649673</v>
      </c>
      <c r="AK798" s="133">
        <f t="shared" si="259"/>
        <v>0</v>
      </c>
      <c r="AL798" s="132"/>
      <c r="AM798" s="133" t="s">
        <v>900</v>
      </c>
      <c r="AN798" s="246">
        <v>44867</v>
      </c>
      <c r="AO798" s="137"/>
      <c r="AP798" s="97"/>
      <c r="AQ798" s="97"/>
      <c r="AR798" s="97"/>
      <c r="AS798" s="97"/>
      <c r="AT798" s="97"/>
      <c r="AU798" s="97"/>
      <c r="AV798" s="97"/>
      <c r="AW798" s="97"/>
      <c r="AX798" s="97"/>
      <c r="AY798" s="97"/>
      <c r="AZ798" s="97"/>
      <c r="BA798" s="97"/>
      <c r="BB798" s="97"/>
      <c r="BC798" s="97"/>
      <c r="BD798" s="97"/>
      <c r="BE798" s="97"/>
    </row>
    <row r="799" s="96" customFormat="1" customHeight="1" spans="1:57">
      <c r="A799" s="115" t="s">
        <v>7189</v>
      </c>
      <c r="B799" s="111" t="s">
        <v>7190</v>
      </c>
      <c r="C799" s="554" t="s">
        <v>7191</v>
      </c>
      <c r="D799" s="113" t="s">
        <v>7192</v>
      </c>
      <c r="E799" s="113">
        <v>18639390090</v>
      </c>
      <c r="F799" s="267">
        <v>1</v>
      </c>
      <c r="G799" s="268">
        <v>165</v>
      </c>
      <c r="H799" s="274">
        <v>22.5</v>
      </c>
      <c r="I799" s="274" t="s">
        <v>2657</v>
      </c>
      <c r="J799" s="113" t="s">
        <v>7193</v>
      </c>
      <c r="K799" s="116">
        <v>22.88</v>
      </c>
      <c r="L799" s="266" t="s">
        <v>2659</v>
      </c>
      <c r="M799" s="266" t="s">
        <v>7194</v>
      </c>
      <c r="N799" s="113" t="s">
        <v>66</v>
      </c>
      <c r="O799" s="113"/>
      <c r="P799" s="113"/>
      <c r="Q799" s="113">
        <v>46776.01</v>
      </c>
      <c r="R799" s="113">
        <v>1052460</v>
      </c>
      <c r="S799" s="121">
        <v>542460</v>
      </c>
      <c r="T799" s="292">
        <f t="shared" si="253"/>
        <v>510000</v>
      </c>
      <c r="U799" s="113"/>
      <c r="V799" s="113">
        <v>1462</v>
      </c>
      <c r="W799" s="113">
        <v>550</v>
      </c>
      <c r="X799" s="113"/>
      <c r="Y799" s="113"/>
      <c r="Z799" s="113"/>
      <c r="AA799" s="113"/>
      <c r="AB799" s="113" t="s">
        <v>7195</v>
      </c>
      <c r="AC799" s="113"/>
      <c r="AD799" s="113"/>
      <c r="AE799" s="133"/>
      <c r="AF799" s="115"/>
      <c r="AG799" s="133"/>
      <c r="AH799" s="133"/>
      <c r="AI799" s="132">
        <f t="shared" si="257"/>
        <v>544472</v>
      </c>
      <c r="AJ799" s="132">
        <f t="shared" si="258"/>
        <v>544472</v>
      </c>
      <c r="AK799" s="133">
        <f t="shared" si="259"/>
        <v>0</v>
      </c>
      <c r="AL799" s="132"/>
      <c r="AM799" s="133" t="s">
        <v>900</v>
      </c>
      <c r="AN799" s="246">
        <v>44867</v>
      </c>
      <c r="AO799" s="137"/>
      <c r="AP799" s="97"/>
      <c r="AQ799" s="97"/>
      <c r="AR799" s="97"/>
      <c r="AS799" s="97"/>
      <c r="AT799" s="97"/>
      <c r="AU799" s="97"/>
      <c r="AV799" s="97"/>
      <c r="AW799" s="97"/>
      <c r="AX799" s="97"/>
      <c r="AY799" s="97"/>
      <c r="AZ799" s="97"/>
      <c r="BA799" s="97"/>
      <c r="BB799" s="97"/>
      <c r="BC799" s="97"/>
      <c r="BD799" s="97"/>
      <c r="BE799" s="97"/>
    </row>
    <row r="800" s="96" customFormat="1" customHeight="1" spans="1:57">
      <c r="A800" s="337" t="s">
        <v>7196</v>
      </c>
      <c r="B800" s="111" t="s">
        <v>7197</v>
      </c>
      <c r="C800" s="554" t="s">
        <v>7198</v>
      </c>
      <c r="D800" s="113" t="s">
        <v>7199</v>
      </c>
      <c r="E800" s="113">
        <v>13569521135</v>
      </c>
      <c r="F800" s="267">
        <v>1</v>
      </c>
      <c r="G800" s="268">
        <v>1669</v>
      </c>
      <c r="H800" s="274">
        <v>9.21</v>
      </c>
      <c r="I800" s="274" t="s">
        <v>2657</v>
      </c>
      <c r="J800" s="113" t="s">
        <v>7200</v>
      </c>
      <c r="K800" s="113">
        <v>8.93</v>
      </c>
      <c r="L800" s="266" t="s">
        <v>3282</v>
      </c>
      <c r="M800" s="266" t="s">
        <v>3653</v>
      </c>
      <c r="N800" s="113" t="s">
        <v>56</v>
      </c>
      <c r="O800" s="113"/>
      <c r="P800" s="113"/>
      <c r="Q800" s="113">
        <v>49046.04</v>
      </c>
      <c r="R800" s="113">
        <v>451714</v>
      </c>
      <c r="S800" s="121">
        <v>451714</v>
      </c>
      <c r="T800" s="292">
        <f t="shared" si="253"/>
        <v>0</v>
      </c>
      <c r="U800" s="113"/>
      <c r="V800" s="113">
        <v>598</v>
      </c>
      <c r="W800" s="113">
        <v>550</v>
      </c>
      <c r="X800" s="113"/>
      <c r="Y800" s="113" t="s">
        <v>2669</v>
      </c>
      <c r="Z800" s="113" t="s">
        <v>48</v>
      </c>
      <c r="AA800" s="305">
        <v>44021</v>
      </c>
      <c r="AB800" s="113"/>
      <c r="AC800" s="113"/>
      <c r="AD800" s="113"/>
      <c r="AE800" s="133"/>
      <c r="AF800" s="115"/>
      <c r="AG800" s="133"/>
      <c r="AH800" s="133"/>
      <c r="AI800" s="132">
        <f t="shared" si="257"/>
        <v>452862</v>
      </c>
      <c r="AJ800" s="341"/>
      <c r="AK800" s="133">
        <f t="shared" si="259"/>
        <v>452862</v>
      </c>
      <c r="AL800" s="342" t="s">
        <v>6885</v>
      </c>
      <c r="AM800" s="133" t="s">
        <v>900</v>
      </c>
      <c r="AN800" s="246">
        <v>44867</v>
      </c>
      <c r="AO800" s="137"/>
      <c r="AP800" s="97"/>
      <c r="AQ800" s="97"/>
      <c r="AR800" s="97"/>
      <c r="AS800" s="97"/>
      <c r="AT800" s="97"/>
      <c r="AU800" s="97"/>
      <c r="AV800" s="97"/>
      <c r="AW800" s="97"/>
      <c r="AX800" s="97"/>
      <c r="AY800" s="97"/>
      <c r="AZ800" s="97"/>
      <c r="BA800" s="97"/>
      <c r="BB800" s="97"/>
      <c r="BC800" s="97"/>
      <c r="BD800" s="97"/>
      <c r="BE800" s="97"/>
    </row>
    <row r="801" s="96" customFormat="1" customHeight="1" spans="1:57">
      <c r="A801" s="115" t="s">
        <v>7201</v>
      </c>
      <c r="B801" s="296" t="s">
        <v>7202</v>
      </c>
      <c r="C801" s="556" t="s">
        <v>7203</v>
      </c>
      <c r="D801" s="267" t="s">
        <v>7204</v>
      </c>
      <c r="E801" s="267" t="s">
        <v>7205</v>
      </c>
      <c r="F801" s="267">
        <v>4</v>
      </c>
      <c r="G801" s="268">
        <v>4134</v>
      </c>
      <c r="H801" s="274">
        <v>52.48</v>
      </c>
      <c r="I801" s="274" t="s">
        <v>2665</v>
      </c>
      <c r="J801" s="267" t="s">
        <v>7206</v>
      </c>
      <c r="K801" s="326">
        <v>65.3</v>
      </c>
      <c r="L801" s="268" t="s">
        <v>3089</v>
      </c>
      <c r="M801" s="268" t="s">
        <v>3089</v>
      </c>
      <c r="N801" s="267" t="s">
        <v>66</v>
      </c>
      <c r="O801" s="267"/>
      <c r="P801" s="267"/>
      <c r="Q801" s="274">
        <v>20222.88</v>
      </c>
      <c r="R801" s="267">
        <v>1320554</v>
      </c>
      <c r="S801" s="292">
        <v>660554</v>
      </c>
      <c r="T801" s="292">
        <f t="shared" si="253"/>
        <v>660000</v>
      </c>
      <c r="U801" s="267"/>
      <c r="V801" s="267"/>
      <c r="W801" s="267"/>
      <c r="X801" s="267"/>
      <c r="Y801" s="267"/>
      <c r="Z801" s="267"/>
      <c r="AA801" s="267"/>
      <c r="AB801" s="267"/>
      <c r="AC801" s="113"/>
      <c r="AD801" s="113"/>
      <c r="AE801" s="133"/>
      <c r="AF801" s="115"/>
      <c r="AG801" s="133"/>
      <c r="AH801" s="133"/>
      <c r="AI801" s="132">
        <f t="shared" si="257"/>
        <v>660554</v>
      </c>
      <c r="AJ801" s="132">
        <f>S801+U801+V801+W801+X801</f>
        <v>660554</v>
      </c>
      <c r="AK801" s="133">
        <f t="shared" si="259"/>
        <v>0</v>
      </c>
      <c r="AL801" s="132"/>
      <c r="AM801" s="133" t="s">
        <v>900</v>
      </c>
      <c r="AN801" s="246">
        <v>44867</v>
      </c>
      <c r="AO801" s="137"/>
      <c r="AP801" s="97"/>
      <c r="AQ801" s="97"/>
      <c r="AR801" s="97"/>
      <c r="AS801" s="97"/>
      <c r="AT801" s="97"/>
      <c r="AU801" s="97"/>
      <c r="AV801" s="97"/>
      <c r="AW801" s="97"/>
      <c r="AX801" s="97"/>
      <c r="AY801" s="97"/>
      <c r="AZ801" s="97"/>
      <c r="BA801" s="97"/>
      <c r="BB801" s="97"/>
      <c r="BC801" s="97"/>
      <c r="BD801" s="97"/>
      <c r="BE801" s="97"/>
    </row>
    <row r="802" s="96" customFormat="1" customHeight="1" spans="1:57">
      <c r="A802" s="115" t="s">
        <v>7207</v>
      </c>
      <c r="B802" s="111" t="s">
        <v>7208</v>
      </c>
      <c r="C802" s="111" t="s">
        <v>7209</v>
      </c>
      <c r="D802" s="121" t="s">
        <v>7210</v>
      </c>
      <c r="E802" s="113">
        <v>18613795118</v>
      </c>
      <c r="F802" s="267">
        <v>3</v>
      </c>
      <c r="G802" s="268">
        <v>379</v>
      </c>
      <c r="H802" s="274">
        <v>22.15</v>
      </c>
      <c r="I802" s="274" t="s">
        <v>2657</v>
      </c>
      <c r="J802" s="113" t="s">
        <v>7211</v>
      </c>
      <c r="K802" s="113">
        <v>22.06</v>
      </c>
      <c r="L802" s="266" t="s">
        <v>3048</v>
      </c>
      <c r="M802" s="266" t="s">
        <v>4663</v>
      </c>
      <c r="N802" s="113" t="s">
        <v>56</v>
      </c>
      <c r="O802" s="113"/>
      <c r="P802" s="113"/>
      <c r="Q802" s="113">
        <v>30670.58</v>
      </c>
      <c r="R802" s="113">
        <v>679353</v>
      </c>
      <c r="S802" s="121">
        <v>679353</v>
      </c>
      <c r="T802" s="292">
        <f t="shared" si="253"/>
        <v>0</v>
      </c>
      <c r="U802" s="267"/>
      <c r="V802" s="267">
        <v>1439</v>
      </c>
      <c r="W802" s="267">
        <v>560</v>
      </c>
      <c r="X802" s="267"/>
      <c r="Y802" s="267" t="s">
        <v>2669</v>
      </c>
      <c r="Z802" s="267"/>
      <c r="AA802" s="267"/>
      <c r="AB802" s="113"/>
      <c r="AC802" s="113"/>
      <c r="AD802" s="113"/>
      <c r="AE802" s="133"/>
      <c r="AF802" s="115"/>
      <c r="AG802" s="133"/>
      <c r="AH802" s="133"/>
      <c r="AI802" s="132">
        <f t="shared" ref="AI802:AI813" si="260">S802+U802+V802+W802+X802+AC802+AD802+AE802</f>
        <v>681352</v>
      </c>
      <c r="AJ802" s="132">
        <f t="shared" ref="AJ802:AJ813" si="261">S802+U802+V802+W802+X802</f>
        <v>681352</v>
      </c>
      <c r="AK802" s="133">
        <f t="shared" ref="AK802:AK815" si="262">AI802-AJ802</f>
        <v>0</v>
      </c>
      <c r="AL802" s="132"/>
      <c r="AM802" s="133" t="s">
        <v>900</v>
      </c>
      <c r="AN802" s="246">
        <v>44868</v>
      </c>
      <c r="AO802" s="137"/>
      <c r="AP802" s="97"/>
      <c r="AQ802" s="97"/>
      <c r="AR802" s="97"/>
      <c r="AS802" s="97"/>
      <c r="AT802" s="97"/>
      <c r="AU802" s="97"/>
      <c r="AV802" s="97"/>
      <c r="AW802" s="97"/>
      <c r="AX802" s="97"/>
      <c r="AY802" s="97"/>
      <c r="AZ802" s="97"/>
      <c r="BA802" s="97"/>
      <c r="BB802" s="97"/>
      <c r="BC802" s="97"/>
      <c r="BD802" s="97"/>
      <c r="BE802" s="97"/>
    </row>
    <row r="803" s="96" customFormat="1" customHeight="1" spans="1:57">
      <c r="A803" s="115" t="s">
        <v>7212</v>
      </c>
      <c r="B803" s="296" t="s">
        <v>7213</v>
      </c>
      <c r="C803" s="556" t="s">
        <v>7214</v>
      </c>
      <c r="D803" s="267" t="s">
        <v>7215</v>
      </c>
      <c r="E803" s="267">
        <v>13223019933</v>
      </c>
      <c r="F803" s="267">
        <v>4</v>
      </c>
      <c r="G803" s="268">
        <v>420</v>
      </c>
      <c r="H803" s="274">
        <v>30.01</v>
      </c>
      <c r="I803" s="274" t="s">
        <v>2665</v>
      </c>
      <c r="J803" s="267" t="s">
        <v>7216</v>
      </c>
      <c r="K803" s="326">
        <v>31.83</v>
      </c>
      <c r="L803" s="268" t="s">
        <v>2711</v>
      </c>
      <c r="M803" s="268" t="s">
        <v>2799</v>
      </c>
      <c r="N803" s="267" t="s">
        <v>66</v>
      </c>
      <c r="O803" s="267"/>
      <c r="P803" s="267"/>
      <c r="Q803" s="274">
        <v>20658.3726044612</v>
      </c>
      <c r="R803" s="267">
        <v>657556</v>
      </c>
      <c r="S803" s="292">
        <v>337556</v>
      </c>
      <c r="T803" s="292">
        <f t="shared" si="253"/>
        <v>320000</v>
      </c>
      <c r="U803" s="267"/>
      <c r="V803" s="267"/>
      <c r="W803" s="267"/>
      <c r="X803" s="267"/>
      <c r="Y803" s="267"/>
      <c r="Z803" s="267"/>
      <c r="AA803" s="267"/>
      <c r="AB803" s="267"/>
      <c r="AC803" s="113"/>
      <c r="AD803" s="113"/>
      <c r="AE803" s="133"/>
      <c r="AF803" s="115"/>
      <c r="AG803" s="133"/>
      <c r="AH803" s="133"/>
      <c r="AI803" s="132">
        <f t="shared" si="260"/>
        <v>337556</v>
      </c>
      <c r="AJ803" s="132">
        <f t="shared" si="261"/>
        <v>337556</v>
      </c>
      <c r="AK803" s="133">
        <f t="shared" si="262"/>
        <v>0</v>
      </c>
      <c r="AL803" s="132"/>
      <c r="AM803" s="133" t="s">
        <v>900</v>
      </c>
      <c r="AN803" s="246">
        <v>44868</v>
      </c>
      <c r="AO803" s="137"/>
      <c r="AP803" s="97"/>
      <c r="AQ803" s="97"/>
      <c r="AR803" s="97"/>
      <c r="AS803" s="97"/>
      <c r="AT803" s="97"/>
      <c r="AU803" s="97"/>
      <c r="AV803" s="97"/>
      <c r="AW803" s="97"/>
      <c r="AX803" s="97"/>
      <c r="AY803" s="97"/>
      <c r="AZ803" s="97"/>
      <c r="BA803" s="97"/>
      <c r="BB803" s="97"/>
      <c r="BC803" s="97"/>
      <c r="BD803" s="97"/>
      <c r="BE803" s="97"/>
    </row>
    <row r="804" s="96" customFormat="1" customHeight="1" spans="1:57">
      <c r="A804" s="115" t="s">
        <v>7217</v>
      </c>
      <c r="B804" s="111" t="s">
        <v>7218</v>
      </c>
      <c r="C804" s="111" t="s">
        <v>7219</v>
      </c>
      <c r="D804" s="121" t="s">
        <v>7220</v>
      </c>
      <c r="E804" s="113">
        <v>13513802255</v>
      </c>
      <c r="F804" s="267">
        <v>3</v>
      </c>
      <c r="G804" s="268">
        <v>3341</v>
      </c>
      <c r="H804" s="274">
        <v>21.64</v>
      </c>
      <c r="I804" s="274" t="s">
        <v>2657</v>
      </c>
      <c r="J804" s="113" t="s">
        <v>7221</v>
      </c>
      <c r="K804" s="113">
        <v>18.23</v>
      </c>
      <c r="L804" s="266" t="s">
        <v>4363</v>
      </c>
      <c r="M804" s="266" t="s">
        <v>7222</v>
      </c>
      <c r="N804" s="113" t="s">
        <v>66</v>
      </c>
      <c r="O804" s="113"/>
      <c r="P804" s="113"/>
      <c r="Q804" s="113">
        <v>31928.58</v>
      </c>
      <c r="R804" s="113">
        <v>582058</v>
      </c>
      <c r="S804" s="121">
        <v>292058</v>
      </c>
      <c r="T804" s="292">
        <f t="shared" si="253"/>
        <v>290000</v>
      </c>
      <c r="U804" s="113"/>
      <c r="V804" s="113"/>
      <c r="W804" s="113"/>
      <c r="X804" s="113"/>
      <c r="Y804" s="113"/>
      <c r="Z804" s="113"/>
      <c r="AA804" s="113"/>
      <c r="AB804" s="113" t="s">
        <v>7223</v>
      </c>
      <c r="AC804" s="113"/>
      <c r="AD804" s="113"/>
      <c r="AE804" s="133"/>
      <c r="AF804" s="115"/>
      <c r="AG804" s="133"/>
      <c r="AH804" s="133"/>
      <c r="AI804" s="132">
        <f t="shared" si="260"/>
        <v>292058</v>
      </c>
      <c r="AJ804" s="132">
        <f t="shared" si="261"/>
        <v>292058</v>
      </c>
      <c r="AK804" s="133">
        <f t="shared" si="262"/>
        <v>0</v>
      </c>
      <c r="AL804" s="132"/>
      <c r="AM804" s="133" t="s">
        <v>900</v>
      </c>
      <c r="AN804" s="246">
        <v>44868</v>
      </c>
      <c r="AO804" s="137"/>
      <c r="AP804" s="97"/>
      <c r="AQ804" s="97"/>
      <c r="AR804" s="97"/>
      <c r="AS804" s="97"/>
      <c r="AT804" s="97"/>
      <c r="AU804" s="97"/>
      <c r="AV804" s="97"/>
      <c r="AW804" s="97"/>
      <c r="AX804" s="97"/>
      <c r="AY804" s="97"/>
      <c r="AZ804" s="97"/>
      <c r="BA804" s="97"/>
      <c r="BB804" s="97"/>
      <c r="BC804" s="97"/>
      <c r="BD804" s="97"/>
      <c r="BE804" s="97"/>
    </row>
    <row r="805" s="96" customFormat="1" customHeight="1" spans="1:57">
      <c r="A805" s="115" t="s">
        <v>7224</v>
      </c>
      <c r="B805" s="111" t="s">
        <v>7225</v>
      </c>
      <c r="C805" s="554" t="s">
        <v>7226</v>
      </c>
      <c r="D805" s="113" t="s">
        <v>7227</v>
      </c>
      <c r="E805" s="113">
        <v>15561875336</v>
      </c>
      <c r="F805" s="267">
        <v>4</v>
      </c>
      <c r="G805" s="268">
        <v>423</v>
      </c>
      <c r="H805" s="274">
        <v>30.01</v>
      </c>
      <c r="I805" s="274" t="s">
        <v>2657</v>
      </c>
      <c r="J805" s="113" t="s">
        <v>7228</v>
      </c>
      <c r="K805" s="113">
        <v>24.34</v>
      </c>
      <c r="L805" s="266" t="s">
        <v>3326</v>
      </c>
      <c r="M805" s="266" t="s">
        <v>2806</v>
      </c>
      <c r="N805" s="113" t="s">
        <v>66</v>
      </c>
      <c r="O805" s="113"/>
      <c r="P805" s="113"/>
      <c r="Q805" s="113">
        <v>25529.38</v>
      </c>
      <c r="R805" s="113">
        <v>621385</v>
      </c>
      <c r="S805" s="121">
        <v>311385</v>
      </c>
      <c r="T805" s="292">
        <f t="shared" si="253"/>
        <v>310000</v>
      </c>
      <c r="U805" s="113"/>
      <c r="V805" s="113"/>
      <c r="W805" s="113"/>
      <c r="X805" s="113"/>
      <c r="Y805" s="113"/>
      <c r="Z805" s="113"/>
      <c r="AA805" s="113"/>
      <c r="AB805" s="113"/>
      <c r="AC805" s="113"/>
      <c r="AD805" s="113"/>
      <c r="AE805" s="133"/>
      <c r="AF805" s="115"/>
      <c r="AG805" s="133"/>
      <c r="AH805" s="133"/>
      <c r="AI805" s="132">
        <f t="shared" si="260"/>
        <v>311385</v>
      </c>
      <c r="AJ805" s="132">
        <f t="shared" si="261"/>
        <v>311385</v>
      </c>
      <c r="AK805" s="133">
        <f t="shared" si="262"/>
        <v>0</v>
      </c>
      <c r="AL805" s="132"/>
      <c r="AM805" s="133" t="s">
        <v>900</v>
      </c>
      <c r="AN805" s="246">
        <v>44868</v>
      </c>
      <c r="AO805" s="137"/>
      <c r="AP805" s="97"/>
      <c r="AQ805" s="97"/>
      <c r="AR805" s="97"/>
      <c r="AS805" s="97"/>
      <c r="AT805" s="97"/>
      <c r="AU805" s="97"/>
      <c r="AV805" s="97"/>
      <c r="AW805" s="97"/>
      <c r="AX805" s="97"/>
      <c r="AY805" s="97"/>
      <c r="AZ805" s="97"/>
      <c r="BA805" s="97"/>
      <c r="BB805" s="97"/>
      <c r="BC805" s="97"/>
      <c r="BD805" s="97"/>
      <c r="BE805" s="97"/>
    </row>
    <row r="806" s="96" customFormat="1" customHeight="1" spans="1:57">
      <c r="A806" s="115" t="s">
        <v>7229</v>
      </c>
      <c r="B806" s="111" t="s">
        <v>7230</v>
      </c>
      <c r="C806" s="554" t="s">
        <v>7231</v>
      </c>
      <c r="D806" s="113" t="s">
        <v>7232</v>
      </c>
      <c r="E806" s="113">
        <v>18738162870</v>
      </c>
      <c r="F806" s="267">
        <v>1</v>
      </c>
      <c r="G806" s="268">
        <v>1690</v>
      </c>
      <c r="H806" s="274">
        <v>17.41</v>
      </c>
      <c r="I806" s="274" t="s">
        <v>2657</v>
      </c>
      <c r="J806" s="113" t="s">
        <v>7233</v>
      </c>
      <c r="K806" s="116">
        <v>18.5</v>
      </c>
      <c r="L806" s="266" t="s">
        <v>2960</v>
      </c>
      <c r="M806" s="266" t="s">
        <v>3163</v>
      </c>
      <c r="N806" s="113" t="s">
        <v>66</v>
      </c>
      <c r="O806" s="113"/>
      <c r="P806" s="113"/>
      <c r="Q806" s="267">
        <v>45950.6</v>
      </c>
      <c r="R806" s="113">
        <v>800000</v>
      </c>
      <c r="S806" s="121">
        <v>450000</v>
      </c>
      <c r="T806" s="292">
        <f t="shared" si="253"/>
        <v>350000</v>
      </c>
      <c r="U806" s="113"/>
      <c r="V806" s="113">
        <v>1131</v>
      </c>
      <c r="W806" s="113">
        <v>550</v>
      </c>
      <c r="X806" s="113"/>
      <c r="Y806" s="113" t="s">
        <v>2669</v>
      </c>
      <c r="Z806" s="113"/>
      <c r="AA806" s="113"/>
      <c r="AB806" s="113"/>
      <c r="AC806" s="113">
        <v>1255</v>
      </c>
      <c r="AD806" s="113"/>
      <c r="AE806" s="133"/>
      <c r="AF806" s="115"/>
      <c r="AG806" s="133"/>
      <c r="AH806" s="133"/>
      <c r="AI806" s="132">
        <f t="shared" si="260"/>
        <v>452936</v>
      </c>
      <c r="AJ806" s="132">
        <f t="shared" si="261"/>
        <v>451681</v>
      </c>
      <c r="AK806" s="133">
        <f t="shared" si="262"/>
        <v>1255</v>
      </c>
      <c r="AL806" s="132"/>
      <c r="AM806" s="133" t="s">
        <v>900</v>
      </c>
      <c r="AN806" s="246">
        <v>44868</v>
      </c>
      <c r="AO806" s="137"/>
      <c r="AP806" s="97"/>
      <c r="AQ806" s="97"/>
      <c r="AR806" s="97"/>
      <c r="AS806" s="97"/>
      <c r="AT806" s="97"/>
      <c r="AU806" s="97"/>
      <c r="AV806" s="97"/>
      <c r="AW806" s="97"/>
      <c r="AX806" s="97"/>
      <c r="AY806" s="97"/>
      <c r="AZ806" s="97"/>
      <c r="BA806" s="97"/>
      <c r="BB806" s="97"/>
      <c r="BC806" s="97"/>
      <c r="BD806" s="97"/>
      <c r="BE806" s="97"/>
    </row>
    <row r="807" s="96" customFormat="1" customHeight="1" spans="1:57">
      <c r="A807" s="115" t="s">
        <v>7234</v>
      </c>
      <c r="B807" s="296" t="s">
        <v>7235</v>
      </c>
      <c r="C807" s="556" t="s">
        <v>7236</v>
      </c>
      <c r="D807" s="267" t="s">
        <v>7237</v>
      </c>
      <c r="E807" s="267">
        <v>15039080990</v>
      </c>
      <c r="F807" s="267">
        <v>3</v>
      </c>
      <c r="G807" s="268">
        <v>333</v>
      </c>
      <c r="H807" s="274">
        <v>17.33</v>
      </c>
      <c r="I807" s="274" t="s">
        <v>2665</v>
      </c>
      <c r="J807" s="267" t="s">
        <v>7238</v>
      </c>
      <c r="K807" s="274">
        <v>22.45</v>
      </c>
      <c r="L807" s="268" t="s">
        <v>2711</v>
      </c>
      <c r="M807" s="268" t="s">
        <v>2799</v>
      </c>
      <c r="N807" s="267" t="s">
        <v>66</v>
      </c>
      <c r="O807" s="267"/>
      <c r="P807" s="267"/>
      <c r="Q807" s="274">
        <v>22882.583518931</v>
      </c>
      <c r="R807" s="267">
        <v>513714</v>
      </c>
      <c r="S807" s="292">
        <v>263714</v>
      </c>
      <c r="T807" s="292">
        <f t="shared" si="253"/>
        <v>250000</v>
      </c>
      <c r="U807" s="267"/>
      <c r="V807" s="267"/>
      <c r="W807" s="267"/>
      <c r="X807" s="267"/>
      <c r="Y807" s="267"/>
      <c r="Z807" s="267"/>
      <c r="AA807" s="267"/>
      <c r="AB807" s="267"/>
      <c r="AC807" s="113"/>
      <c r="AD807" s="113"/>
      <c r="AE807" s="133"/>
      <c r="AF807" s="115"/>
      <c r="AG807" s="133"/>
      <c r="AH807" s="133"/>
      <c r="AI807" s="132">
        <f t="shared" si="260"/>
        <v>263714</v>
      </c>
      <c r="AJ807" s="132">
        <f t="shared" si="261"/>
        <v>263714</v>
      </c>
      <c r="AK807" s="133">
        <f t="shared" si="262"/>
        <v>0</v>
      </c>
      <c r="AL807" s="132"/>
      <c r="AM807" s="133" t="s">
        <v>900</v>
      </c>
      <c r="AN807" s="246">
        <v>44868</v>
      </c>
      <c r="AO807" s="137"/>
      <c r="AP807" s="97"/>
      <c r="AQ807" s="97"/>
      <c r="AR807" s="97"/>
      <c r="AS807" s="97"/>
      <c r="AT807" s="97"/>
      <c r="AU807" s="97"/>
      <c r="AV807" s="97"/>
      <c r="AW807" s="97"/>
      <c r="AX807" s="97"/>
      <c r="AY807" s="97"/>
      <c r="AZ807" s="97"/>
      <c r="BA807" s="97"/>
      <c r="BB807" s="97"/>
      <c r="BC807" s="97"/>
      <c r="BD807" s="97"/>
      <c r="BE807" s="97"/>
    </row>
    <row r="808" s="96" customFormat="1" customHeight="1" spans="1:57">
      <c r="A808" s="115" t="s">
        <v>7239</v>
      </c>
      <c r="B808" s="111" t="s">
        <v>7240</v>
      </c>
      <c r="C808" s="554" t="s">
        <v>7241</v>
      </c>
      <c r="D808" s="113" t="s">
        <v>7242</v>
      </c>
      <c r="E808" s="113">
        <v>13601326843</v>
      </c>
      <c r="F808" s="267">
        <v>1</v>
      </c>
      <c r="G808" s="268">
        <v>1603</v>
      </c>
      <c r="H808" s="274">
        <v>20.92</v>
      </c>
      <c r="I808" s="274" t="s">
        <v>2657</v>
      </c>
      <c r="J808" s="113" t="s">
        <v>7243</v>
      </c>
      <c r="K808" s="116">
        <v>22.66</v>
      </c>
      <c r="L808" s="266" t="s">
        <v>3858</v>
      </c>
      <c r="M808" s="266" t="s">
        <v>3049</v>
      </c>
      <c r="N808" s="113" t="s">
        <v>66</v>
      </c>
      <c r="O808" s="113"/>
      <c r="P808" s="113"/>
      <c r="Q808" s="113">
        <v>47510.64</v>
      </c>
      <c r="R808" s="113">
        <v>1076591</v>
      </c>
      <c r="S808" s="121">
        <v>546591</v>
      </c>
      <c r="T808" s="292">
        <f t="shared" si="253"/>
        <v>530000</v>
      </c>
      <c r="U808" s="113"/>
      <c r="V808" s="113"/>
      <c r="W808" s="113"/>
      <c r="X808" s="113"/>
      <c r="Y808" s="113"/>
      <c r="Z808" s="113"/>
      <c r="AA808" s="113"/>
      <c r="AB808" s="113"/>
      <c r="AC808" s="113"/>
      <c r="AD808" s="113"/>
      <c r="AE808" s="133"/>
      <c r="AF808" s="115"/>
      <c r="AG808" s="133"/>
      <c r="AH808" s="133"/>
      <c r="AI808" s="132">
        <f t="shared" si="260"/>
        <v>546591</v>
      </c>
      <c r="AJ808" s="132">
        <f t="shared" si="261"/>
        <v>546591</v>
      </c>
      <c r="AK808" s="133">
        <f t="shared" si="262"/>
        <v>0</v>
      </c>
      <c r="AL808" s="132"/>
      <c r="AM808" s="133" t="s">
        <v>900</v>
      </c>
      <c r="AN808" s="246">
        <v>44868</v>
      </c>
      <c r="AO808" s="137"/>
      <c r="AP808" s="97"/>
      <c r="AQ808" s="97"/>
      <c r="AR808" s="97"/>
      <c r="AS808" s="97"/>
      <c r="AT808" s="97"/>
      <c r="AU808" s="97"/>
      <c r="AV808" s="97"/>
      <c r="AW808" s="97"/>
      <c r="AX808" s="97"/>
      <c r="AY808" s="97"/>
      <c r="AZ808" s="97"/>
      <c r="BA808" s="97"/>
      <c r="BB808" s="97"/>
      <c r="BC808" s="97"/>
      <c r="BD808" s="97"/>
      <c r="BE808" s="97"/>
    </row>
    <row r="809" s="96" customFormat="1" customHeight="1" spans="1:57">
      <c r="A809" s="115" t="s">
        <v>7244</v>
      </c>
      <c r="B809" s="111" t="s">
        <v>7245</v>
      </c>
      <c r="C809" s="554" t="s">
        <v>7246</v>
      </c>
      <c r="D809" s="113" t="s">
        <v>7247</v>
      </c>
      <c r="E809" s="113">
        <v>13938264710</v>
      </c>
      <c r="F809" s="267">
        <v>4</v>
      </c>
      <c r="G809" s="268">
        <v>413</v>
      </c>
      <c r="H809" s="274">
        <v>35.92</v>
      </c>
      <c r="I809" s="274" t="s">
        <v>2657</v>
      </c>
      <c r="J809" s="113" t="s">
        <v>7248</v>
      </c>
      <c r="K809" s="113">
        <v>32.18</v>
      </c>
      <c r="L809" s="266" t="s">
        <v>2806</v>
      </c>
      <c r="M809" s="266" t="s">
        <v>3338</v>
      </c>
      <c r="N809" s="113" t="s">
        <v>56</v>
      </c>
      <c r="O809" s="113"/>
      <c r="P809" s="113"/>
      <c r="Q809" s="113">
        <v>24755.75</v>
      </c>
      <c r="R809" s="113">
        <v>796640</v>
      </c>
      <c r="S809" s="121">
        <v>796640</v>
      </c>
      <c r="T809" s="292">
        <f t="shared" si="253"/>
        <v>0</v>
      </c>
      <c r="U809" s="113"/>
      <c r="V809" s="113"/>
      <c r="W809" s="113"/>
      <c r="X809" s="113"/>
      <c r="Y809" s="113"/>
      <c r="Z809" s="113"/>
      <c r="AA809" s="113"/>
      <c r="AB809" s="113"/>
      <c r="AC809" s="113"/>
      <c r="AD809" s="113"/>
      <c r="AE809" s="133"/>
      <c r="AF809" s="115"/>
      <c r="AG809" s="133"/>
      <c r="AH809" s="133"/>
      <c r="AI809" s="132">
        <f t="shared" si="260"/>
        <v>796640</v>
      </c>
      <c r="AJ809" s="132">
        <f t="shared" si="261"/>
        <v>796640</v>
      </c>
      <c r="AK809" s="133">
        <f t="shared" si="262"/>
        <v>0</v>
      </c>
      <c r="AL809" s="132"/>
      <c r="AM809" s="133" t="s">
        <v>900</v>
      </c>
      <c r="AN809" s="246">
        <v>44868</v>
      </c>
      <c r="AO809" s="137"/>
      <c r="AP809" s="97"/>
      <c r="AQ809" s="97"/>
      <c r="AR809" s="97"/>
      <c r="AS809" s="97"/>
      <c r="AT809" s="97"/>
      <c r="AU809" s="97"/>
      <c r="AV809" s="97"/>
      <c r="AW809" s="97"/>
      <c r="AX809" s="97"/>
      <c r="AY809" s="97"/>
      <c r="AZ809" s="97"/>
      <c r="BA809" s="97"/>
      <c r="BB809" s="97"/>
      <c r="BC809" s="97"/>
      <c r="BD809" s="97"/>
      <c r="BE809" s="97"/>
    </row>
    <row r="810" s="96" customFormat="1" customHeight="1" spans="1:57">
      <c r="A810" s="115" t="s">
        <v>7249</v>
      </c>
      <c r="B810" s="111" t="s">
        <v>7250</v>
      </c>
      <c r="C810" s="111" t="s">
        <v>7251</v>
      </c>
      <c r="D810" s="113" t="s">
        <v>7247</v>
      </c>
      <c r="E810" s="113">
        <v>18638262206</v>
      </c>
      <c r="F810" s="267">
        <v>4</v>
      </c>
      <c r="G810" s="268">
        <v>412</v>
      </c>
      <c r="H810" s="274">
        <v>25.15</v>
      </c>
      <c r="I810" s="274" t="s">
        <v>2657</v>
      </c>
      <c r="J810" s="113" t="s">
        <v>7252</v>
      </c>
      <c r="K810" s="113">
        <v>21.18</v>
      </c>
      <c r="L810" s="266" t="s">
        <v>2806</v>
      </c>
      <c r="M810" s="266" t="s">
        <v>3338</v>
      </c>
      <c r="N810" s="113" t="s">
        <v>56</v>
      </c>
      <c r="O810" s="113"/>
      <c r="P810" s="113"/>
      <c r="Q810" s="113">
        <v>24755.76</v>
      </c>
      <c r="R810" s="113">
        <v>524327</v>
      </c>
      <c r="S810" s="121">
        <v>524327</v>
      </c>
      <c r="T810" s="292">
        <f t="shared" si="253"/>
        <v>0</v>
      </c>
      <c r="U810" s="113"/>
      <c r="V810" s="113"/>
      <c r="W810" s="113"/>
      <c r="X810" s="113"/>
      <c r="Y810" s="113"/>
      <c r="Z810" s="113"/>
      <c r="AA810" s="113"/>
      <c r="AB810" s="113"/>
      <c r="AC810" s="113"/>
      <c r="AD810" s="113"/>
      <c r="AE810" s="133"/>
      <c r="AF810" s="115"/>
      <c r="AG810" s="133"/>
      <c r="AH810" s="133"/>
      <c r="AI810" s="132">
        <f t="shared" si="260"/>
        <v>524327</v>
      </c>
      <c r="AJ810" s="132">
        <f t="shared" si="261"/>
        <v>524327</v>
      </c>
      <c r="AK810" s="133">
        <f t="shared" si="262"/>
        <v>0</v>
      </c>
      <c r="AL810" s="132"/>
      <c r="AM810" s="133" t="s">
        <v>900</v>
      </c>
      <c r="AN810" s="246">
        <v>44868</v>
      </c>
      <c r="AO810" s="137"/>
      <c r="AP810" s="97"/>
      <c r="AQ810" s="97"/>
      <c r="AR810" s="97"/>
      <c r="AS810" s="97"/>
      <c r="AT810" s="97"/>
      <c r="AU810" s="97"/>
      <c r="AV810" s="97"/>
      <c r="AW810" s="97"/>
      <c r="AX810" s="97"/>
      <c r="AY810" s="97"/>
      <c r="AZ810" s="97"/>
      <c r="BA810" s="97"/>
      <c r="BB810" s="97"/>
      <c r="BC810" s="97"/>
      <c r="BD810" s="97"/>
      <c r="BE810" s="97"/>
    </row>
    <row r="811" s="96" customFormat="1" customHeight="1" spans="1:57">
      <c r="A811" s="115" t="s">
        <v>7253</v>
      </c>
      <c r="B811" s="336" t="s">
        <v>7254</v>
      </c>
      <c r="C811" s="554" t="s">
        <v>7255</v>
      </c>
      <c r="D811" s="113" t="s">
        <v>7256</v>
      </c>
      <c r="E811" s="113">
        <v>13569666882</v>
      </c>
      <c r="F811" s="267">
        <v>1</v>
      </c>
      <c r="G811" s="268">
        <v>1322</v>
      </c>
      <c r="H811" s="274">
        <v>13.93</v>
      </c>
      <c r="I811" s="274" t="s">
        <v>2657</v>
      </c>
      <c r="J811" s="113" t="s">
        <v>7257</v>
      </c>
      <c r="K811" s="113">
        <v>15.27</v>
      </c>
      <c r="L811" s="266" t="s">
        <v>2675</v>
      </c>
      <c r="M811" s="266" t="s">
        <v>2675</v>
      </c>
      <c r="N811" s="113" t="s">
        <v>66</v>
      </c>
      <c r="O811" s="113"/>
      <c r="P811" s="113"/>
      <c r="Q811" s="113">
        <v>49369.61</v>
      </c>
      <c r="R811" s="113">
        <v>753874</v>
      </c>
      <c r="S811" s="121">
        <v>383874</v>
      </c>
      <c r="T811" s="292">
        <f t="shared" si="253"/>
        <v>370000</v>
      </c>
      <c r="U811" s="113"/>
      <c r="V811" s="113"/>
      <c r="W811" s="113"/>
      <c r="X811" s="113"/>
      <c r="Y811" s="113"/>
      <c r="Z811" s="113"/>
      <c r="AA811" s="113"/>
      <c r="AB811" s="113"/>
      <c r="AC811" s="113"/>
      <c r="AD811" s="113"/>
      <c r="AE811" s="133"/>
      <c r="AF811" s="115"/>
      <c r="AG811" s="133"/>
      <c r="AH811" s="133"/>
      <c r="AI811" s="132">
        <f t="shared" si="260"/>
        <v>383874</v>
      </c>
      <c r="AJ811" s="132">
        <f t="shared" si="261"/>
        <v>383874</v>
      </c>
      <c r="AK811" s="133">
        <f t="shared" si="262"/>
        <v>0</v>
      </c>
      <c r="AL811" s="132"/>
      <c r="AM811" s="133" t="s">
        <v>900</v>
      </c>
      <c r="AN811" s="246">
        <v>44868</v>
      </c>
      <c r="AO811" s="137"/>
      <c r="AP811" s="97"/>
      <c r="AQ811" s="97"/>
      <c r="AR811" s="97"/>
      <c r="AS811" s="97"/>
      <c r="AT811" s="97"/>
      <c r="AU811" s="97"/>
      <c r="AV811" s="97"/>
      <c r="AW811" s="97"/>
      <c r="AX811" s="97"/>
      <c r="AY811" s="97"/>
      <c r="AZ811" s="97"/>
      <c r="BA811" s="97"/>
      <c r="BB811" s="97"/>
      <c r="BC811" s="97"/>
      <c r="BD811" s="97"/>
      <c r="BE811" s="97"/>
    </row>
    <row r="812" s="96" customFormat="1" customHeight="1" spans="1:57">
      <c r="A812" s="115" t="s">
        <v>7258</v>
      </c>
      <c r="B812" s="111" t="s">
        <v>7254</v>
      </c>
      <c r="C812" s="111" t="s">
        <v>7255</v>
      </c>
      <c r="D812" s="121" t="s">
        <v>7256</v>
      </c>
      <c r="E812" s="113">
        <v>13569666882</v>
      </c>
      <c r="F812" s="267">
        <v>3</v>
      </c>
      <c r="G812" s="268">
        <v>3886</v>
      </c>
      <c r="H812" s="274">
        <v>24.73</v>
      </c>
      <c r="I812" s="274" t="s">
        <v>2657</v>
      </c>
      <c r="J812" s="113" t="s">
        <v>7259</v>
      </c>
      <c r="K812" s="113">
        <v>21.25</v>
      </c>
      <c r="L812" s="266" t="s">
        <v>3425</v>
      </c>
      <c r="M812" s="266" t="s">
        <v>2675</v>
      </c>
      <c r="N812" s="113" t="s">
        <v>66</v>
      </c>
      <c r="O812" s="113"/>
      <c r="P812" s="113"/>
      <c r="Q812" s="113">
        <v>32023.76</v>
      </c>
      <c r="R812" s="113">
        <v>680505</v>
      </c>
      <c r="S812" s="121">
        <v>340505</v>
      </c>
      <c r="T812" s="292">
        <f t="shared" si="253"/>
        <v>340000</v>
      </c>
      <c r="U812" s="113"/>
      <c r="V812" s="113"/>
      <c r="W812" s="113"/>
      <c r="X812" s="113"/>
      <c r="Y812" s="113"/>
      <c r="Z812" s="113"/>
      <c r="AA812" s="113"/>
      <c r="AB812" s="113"/>
      <c r="AC812" s="113"/>
      <c r="AD812" s="113"/>
      <c r="AE812" s="133"/>
      <c r="AF812" s="115"/>
      <c r="AG812" s="133"/>
      <c r="AH812" s="133"/>
      <c r="AI812" s="132">
        <f t="shared" si="260"/>
        <v>340505</v>
      </c>
      <c r="AJ812" s="132">
        <f t="shared" si="261"/>
        <v>340505</v>
      </c>
      <c r="AK812" s="133">
        <f t="shared" si="262"/>
        <v>0</v>
      </c>
      <c r="AL812" s="132"/>
      <c r="AM812" s="133" t="s">
        <v>900</v>
      </c>
      <c r="AN812" s="246">
        <v>44868</v>
      </c>
      <c r="AO812" s="137"/>
      <c r="AP812" s="97"/>
      <c r="AQ812" s="97"/>
      <c r="AR812" s="97"/>
      <c r="AS812" s="97"/>
      <c r="AT812" s="97"/>
      <c r="AU812" s="97"/>
      <c r="AV812" s="97"/>
      <c r="AW812" s="97"/>
      <c r="AX812" s="97"/>
      <c r="AY812" s="97"/>
      <c r="AZ812" s="97"/>
      <c r="BA812" s="97"/>
      <c r="BB812" s="97"/>
      <c r="BC812" s="97"/>
      <c r="BD812" s="97"/>
      <c r="BE812" s="97"/>
    </row>
    <row r="813" s="96" customFormat="1" customHeight="1" spans="1:57">
      <c r="A813" s="115" t="s">
        <v>7260</v>
      </c>
      <c r="B813" s="111" t="s">
        <v>7261</v>
      </c>
      <c r="C813" s="111" t="s">
        <v>7262</v>
      </c>
      <c r="D813" s="121" t="s">
        <v>2958</v>
      </c>
      <c r="E813" s="113">
        <v>18530951009</v>
      </c>
      <c r="F813" s="267">
        <v>3</v>
      </c>
      <c r="G813" s="268">
        <v>3162</v>
      </c>
      <c r="H813" s="274">
        <v>26.01</v>
      </c>
      <c r="I813" s="274" t="s">
        <v>2657</v>
      </c>
      <c r="J813" s="113" t="s">
        <v>7263</v>
      </c>
      <c r="K813" s="116">
        <v>17.99</v>
      </c>
      <c r="L813" s="266" t="s">
        <v>4541</v>
      </c>
      <c r="M813" s="266" t="s">
        <v>2961</v>
      </c>
      <c r="N813" s="113" t="s">
        <v>66</v>
      </c>
      <c r="O813" s="113"/>
      <c r="P813" s="113"/>
      <c r="Q813" s="113">
        <v>31622.35</v>
      </c>
      <c r="R813" s="113">
        <v>568886</v>
      </c>
      <c r="S813" s="121">
        <v>288886</v>
      </c>
      <c r="T813" s="292">
        <f t="shared" si="253"/>
        <v>280000</v>
      </c>
      <c r="U813" s="113"/>
      <c r="V813" s="113"/>
      <c r="W813" s="113"/>
      <c r="X813" s="113"/>
      <c r="Y813" s="113"/>
      <c r="Z813" s="113"/>
      <c r="AA813" s="113"/>
      <c r="AB813" s="113"/>
      <c r="AC813" s="113"/>
      <c r="AD813" s="113"/>
      <c r="AE813" s="133"/>
      <c r="AF813" s="115"/>
      <c r="AG813" s="133"/>
      <c r="AH813" s="133"/>
      <c r="AI813" s="132">
        <f t="shared" si="260"/>
        <v>288886</v>
      </c>
      <c r="AJ813" s="132">
        <f t="shared" si="261"/>
        <v>288886</v>
      </c>
      <c r="AK813" s="133">
        <f t="shared" si="262"/>
        <v>0</v>
      </c>
      <c r="AL813" s="132"/>
      <c r="AM813" s="133" t="s">
        <v>900</v>
      </c>
      <c r="AN813" s="246">
        <v>44868</v>
      </c>
      <c r="AO813" s="137"/>
      <c r="AP813" s="97"/>
      <c r="AQ813" s="97"/>
      <c r="AR813" s="97"/>
      <c r="AS813" s="97"/>
      <c r="AT813" s="97"/>
      <c r="AU813" s="97"/>
      <c r="AV813" s="97"/>
      <c r="AW813" s="97"/>
      <c r="AX813" s="97"/>
      <c r="AY813" s="97"/>
      <c r="AZ813" s="97"/>
      <c r="BA813" s="97"/>
      <c r="BB813" s="97"/>
      <c r="BC813" s="97"/>
      <c r="BD813" s="97"/>
      <c r="BE813" s="97"/>
    </row>
    <row r="814" s="96" customFormat="1" customHeight="1" spans="1:57">
      <c r="A814" s="337" t="s">
        <v>7264</v>
      </c>
      <c r="B814" s="111" t="s">
        <v>7265</v>
      </c>
      <c r="C814" s="111" t="s">
        <v>7266</v>
      </c>
      <c r="D814" s="113" t="s">
        <v>7267</v>
      </c>
      <c r="E814" s="113">
        <v>15393713085</v>
      </c>
      <c r="F814" s="267">
        <v>4</v>
      </c>
      <c r="G814" s="268">
        <v>4251</v>
      </c>
      <c r="H814" s="274">
        <v>10.43</v>
      </c>
      <c r="I814" s="274" t="s">
        <v>2657</v>
      </c>
      <c r="J814" s="113" t="s">
        <v>7268</v>
      </c>
      <c r="K814" s="116">
        <v>8.07</v>
      </c>
      <c r="L814" s="266" t="s">
        <v>2891</v>
      </c>
      <c r="M814" s="266" t="s">
        <v>2854</v>
      </c>
      <c r="N814" s="113" t="s">
        <v>56</v>
      </c>
      <c r="O814" s="113"/>
      <c r="P814" s="113"/>
      <c r="Q814" s="113">
        <v>27433.71</v>
      </c>
      <c r="R814" s="113">
        <v>221390</v>
      </c>
      <c r="S814" s="121">
        <v>221390</v>
      </c>
      <c r="T814" s="292">
        <f t="shared" si="253"/>
        <v>0</v>
      </c>
      <c r="U814" s="113"/>
      <c r="V814" s="113"/>
      <c r="W814" s="113"/>
      <c r="X814" s="113"/>
      <c r="Y814" s="113"/>
      <c r="Z814" s="113"/>
      <c r="AA814" s="113"/>
      <c r="AB814" s="113" t="s">
        <v>4984</v>
      </c>
      <c r="AC814" s="113"/>
      <c r="AD814" s="113"/>
      <c r="AE814" s="133"/>
      <c r="AF814" s="115"/>
      <c r="AG814" s="133"/>
      <c r="AH814" s="133"/>
      <c r="AI814" s="132">
        <f>S814+U814+V814+W814+X814+AC814+AD814</f>
        <v>221390</v>
      </c>
      <c r="AJ814" s="341"/>
      <c r="AK814" s="133">
        <f t="shared" si="262"/>
        <v>221390</v>
      </c>
      <c r="AL814" s="342" t="s">
        <v>6885</v>
      </c>
      <c r="AM814" s="133" t="s">
        <v>900</v>
      </c>
      <c r="AN814" s="246">
        <v>44868</v>
      </c>
      <c r="AO814" s="137"/>
      <c r="AP814" s="97"/>
      <c r="AQ814" s="97"/>
      <c r="AR814" s="97"/>
      <c r="AS814" s="97"/>
      <c r="AT814" s="97"/>
      <c r="AU814" s="97"/>
      <c r="AV814" s="97"/>
      <c r="AW814" s="97"/>
      <c r="AX814" s="97"/>
      <c r="AY814" s="97"/>
      <c r="AZ814" s="97"/>
      <c r="BA814" s="97"/>
      <c r="BB814" s="97"/>
      <c r="BC814" s="97"/>
      <c r="BD814" s="97"/>
      <c r="BE814" s="97"/>
    </row>
    <row r="815" s="96" customFormat="1" customHeight="1" spans="1:57">
      <c r="A815" s="115" t="s">
        <v>7269</v>
      </c>
      <c r="B815" s="111" t="s">
        <v>7270</v>
      </c>
      <c r="C815" s="554" t="s">
        <v>7271</v>
      </c>
      <c r="D815" s="113" t="s">
        <v>7272</v>
      </c>
      <c r="E815" s="558" t="s">
        <v>7273</v>
      </c>
      <c r="F815" s="267">
        <v>1</v>
      </c>
      <c r="G815" s="268">
        <v>153</v>
      </c>
      <c r="H815" s="274">
        <v>28.12</v>
      </c>
      <c r="I815" s="274" t="s">
        <v>2657</v>
      </c>
      <c r="J815" s="113" t="s">
        <v>7274</v>
      </c>
      <c r="K815" s="116">
        <v>25.18</v>
      </c>
      <c r="L815" s="266" t="s">
        <v>2746</v>
      </c>
      <c r="M815" s="266" t="s">
        <v>3793</v>
      </c>
      <c r="N815" s="113" t="s">
        <v>66</v>
      </c>
      <c r="O815" s="113"/>
      <c r="P815" s="113"/>
      <c r="Q815" s="113">
        <v>47850.12</v>
      </c>
      <c r="R815" s="113">
        <v>1204866</v>
      </c>
      <c r="S815" s="121">
        <v>604866</v>
      </c>
      <c r="T815" s="292">
        <f t="shared" si="253"/>
        <v>600000</v>
      </c>
      <c r="U815" s="113"/>
      <c r="V815" s="113"/>
      <c r="W815" s="113"/>
      <c r="X815" s="113"/>
      <c r="Y815" s="113"/>
      <c r="Z815" s="113"/>
      <c r="AA815" s="113"/>
      <c r="AB815" s="113" t="s">
        <v>7275</v>
      </c>
      <c r="AC815" s="113"/>
      <c r="AD815" s="113"/>
      <c r="AE815" s="133"/>
      <c r="AF815" s="115"/>
      <c r="AG815" s="133"/>
      <c r="AH815" s="133"/>
      <c r="AI815" s="132">
        <f>S815+U815+V815+W815+X815+AC815+AD815+AE815</f>
        <v>604866</v>
      </c>
      <c r="AJ815" s="132">
        <f>S815+U815+V815+W815+X815</f>
        <v>604866</v>
      </c>
      <c r="AK815" s="133">
        <f t="shared" si="262"/>
        <v>0</v>
      </c>
      <c r="AL815" s="132"/>
      <c r="AM815" s="133" t="s">
        <v>900</v>
      </c>
      <c r="AN815" s="246">
        <v>44868</v>
      </c>
      <c r="AO815" s="137"/>
      <c r="AP815" s="97"/>
      <c r="AQ815" s="97"/>
      <c r="AR815" s="97"/>
      <c r="AS815" s="97"/>
      <c r="AT815" s="97"/>
      <c r="AU815" s="97"/>
      <c r="AV815" s="97"/>
      <c r="AW815" s="97"/>
      <c r="AX815" s="97"/>
      <c r="AY815" s="97"/>
      <c r="AZ815" s="97"/>
      <c r="BA815" s="97"/>
      <c r="BB815" s="97"/>
      <c r="BC815" s="97"/>
      <c r="BD815" s="97"/>
      <c r="BE815" s="97"/>
    </row>
    <row r="816" s="96" customFormat="1" customHeight="1" spans="1:57">
      <c r="A816" s="115" t="s">
        <v>7276</v>
      </c>
      <c r="B816" s="111" t="s">
        <v>7277</v>
      </c>
      <c r="C816" s="554" t="s">
        <v>7278</v>
      </c>
      <c r="D816" s="113"/>
      <c r="E816" s="113">
        <v>15137320909</v>
      </c>
      <c r="F816" s="267">
        <v>1</v>
      </c>
      <c r="G816" s="268">
        <v>1565</v>
      </c>
      <c r="H816" s="274">
        <v>24.91</v>
      </c>
      <c r="I816" s="274" t="s">
        <v>2657</v>
      </c>
      <c r="J816" s="113" t="s">
        <v>7279</v>
      </c>
      <c r="K816" s="116">
        <v>22.2</v>
      </c>
      <c r="L816" s="266" t="s">
        <v>5580</v>
      </c>
      <c r="M816" s="266" t="s">
        <v>5580</v>
      </c>
      <c r="N816" s="113" t="s">
        <v>56</v>
      </c>
      <c r="O816" s="113"/>
      <c r="P816" s="113"/>
      <c r="Q816" s="113">
        <v>46181.53</v>
      </c>
      <c r="R816" s="113">
        <v>1025230</v>
      </c>
      <c r="S816" s="121">
        <v>1025230</v>
      </c>
      <c r="T816" s="292">
        <f t="shared" si="253"/>
        <v>0</v>
      </c>
      <c r="U816" s="113"/>
      <c r="V816" s="113"/>
      <c r="W816" s="113"/>
      <c r="X816" s="113"/>
      <c r="Y816" s="113"/>
      <c r="Z816" s="113"/>
      <c r="AA816" s="113"/>
      <c r="AB816" s="113"/>
      <c r="AC816" s="113"/>
      <c r="AD816" s="113"/>
      <c r="AE816" s="133"/>
      <c r="AF816" s="115"/>
      <c r="AG816" s="133"/>
      <c r="AH816" s="133"/>
      <c r="AI816" s="132">
        <f t="shared" ref="AI816:AI827" si="263">S816+U816+V816+W816+X816+AC816+AD816+AE816</f>
        <v>1025230</v>
      </c>
      <c r="AJ816" s="132">
        <f t="shared" ref="AJ816:AJ827" si="264">S816+U816+V816+W816+X816</f>
        <v>1025230</v>
      </c>
      <c r="AK816" s="133">
        <f t="shared" ref="AK816:AK827" si="265">AI816-AJ816</f>
        <v>0</v>
      </c>
      <c r="AL816" s="132"/>
      <c r="AM816" s="133" t="s">
        <v>900</v>
      </c>
      <c r="AN816" s="246">
        <v>44868</v>
      </c>
      <c r="AO816" s="137"/>
      <c r="AP816" s="97"/>
      <c r="AQ816" s="97"/>
      <c r="AR816" s="97"/>
      <c r="AS816" s="97"/>
      <c r="AT816" s="97"/>
      <c r="AU816" s="97"/>
      <c r="AV816" s="97"/>
      <c r="AW816" s="97"/>
      <c r="AX816" s="97"/>
      <c r="AY816" s="97"/>
      <c r="AZ816" s="97"/>
      <c r="BA816" s="97"/>
      <c r="BB816" s="97"/>
      <c r="BC816" s="97"/>
      <c r="BD816" s="97"/>
      <c r="BE816" s="97"/>
    </row>
    <row r="817" s="96" customFormat="1" customHeight="1" spans="1:57">
      <c r="A817" s="115" t="s">
        <v>7280</v>
      </c>
      <c r="B817" s="296" t="s">
        <v>7281</v>
      </c>
      <c r="C817" s="556" t="s">
        <v>7282</v>
      </c>
      <c r="D817" s="267" t="s">
        <v>7283</v>
      </c>
      <c r="E817" s="267">
        <v>15903681632</v>
      </c>
      <c r="F817" s="267">
        <v>3</v>
      </c>
      <c r="G817" s="268">
        <v>319</v>
      </c>
      <c r="H817" s="274">
        <v>40</v>
      </c>
      <c r="I817" s="274" t="s">
        <v>2665</v>
      </c>
      <c r="J817" s="267" t="s">
        <v>7284</v>
      </c>
      <c r="K817" s="326">
        <v>40.58</v>
      </c>
      <c r="L817" s="266" t="s">
        <v>4896</v>
      </c>
      <c r="M817" s="268" t="s">
        <v>3402</v>
      </c>
      <c r="N817" s="267" t="s">
        <v>56</v>
      </c>
      <c r="O817" s="267"/>
      <c r="P817" s="267"/>
      <c r="Q817" s="274">
        <v>24642.67</v>
      </c>
      <c r="R817" s="267">
        <v>985707</v>
      </c>
      <c r="S817" s="292">
        <v>985707</v>
      </c>
      <c r="T817" s="292">
        <f t="shared" si="253"/>
        <v>0</v>
      </c>
      <c r="U817" s="267"/>
      <c r="V817" s="267">
        <v>2600</v>
      </c>
      <c r="W817" s="267">
        <v>550</v>
      </c>
      <c r="X817" s="267">
        <v>11143</v>
      </c>
      <c r="Y817" s="267" t="s">
        <v>2669</v>
      </c>
      <c r="Z817" s="267" t="s">
        <v>48</v>
      </c>
      <c r="AA817" s="304">
        <v>44021</v>
      </c>
      <c r="AB817" s="267"/>
      <c r="AC817" s="113"/>
      <c r="AD817" s="113"/>
      <c r="AE817" s="133"/>
      <c r="AF817" s="115"/>
      <c r="AG817" s="133"/>
      <c r="AH817" s="133"/>
      <c r="AI817" s="132">
        <f t="shared" si="263"/>
        <v>1000000</v>
      </c>
      <c r="AJ817" s="132">
        <f t="shared" si="264"/>
        <v>1000000</v>
      </c>
      <c r="AK817" s="133">
        <f t="shared" si="265"/>
        <v>0</v>
      </c>
      <c r="AL817" s="132"/>
      <c r="AM817" s="133" t="s">
        <v>900</v>
      </c>
      <c r="AN817" s="246">
        <v>44868</v>
      </c>
      <c r="AO817" s="137"/>
      <c r="AP817" s="97"/>
      <c r="AQ817" s="97"/>
      <c r="AR817" s="97"/>
      <c r="AS817" s="97"/>
      <c r="AT817" s="97"/>
      <c r="AU817" s="97"/>
      <c r="AV817" s="97"/>
      <c r="AW817" s="97"/>
      <c r="AX817" s="97"/>
      <c r="AY817" s="97"/>
      <c r="AZ817" s="97"/>
      <c r="BA817" s="97"/>
      <c r="BB817" s="97"/>
      <c r="BC817" s="97"/>
      <c r="BD817" s="97"/>
      <c r="BE817" s="97"/>
    </row>
    <row r="818" s="96" customFormat="1" customHeight="1" spans="1:57">
      <c r="A818" s="115" t="s">
        <v>7285</v>
      </c>
      <c r="B818" s="296" t="s">
        <v>7286</v>
      </c>
      <c r="C818" s="556" t="s">
        <v>7287</v>
      </c>
      <c r="D818" s="267" t="s">
        <v>7283</v>
      </c>
      <c r="E818" s="267">
        <v>15938759870</v>
      </c>
      <c r="F818" s="267">
        <v>3</v>
      </c>
      <c r="G818" s="268">
        <v>321</v>
      </c>
      <c r="H818" s="274">
        <v>40</v>
      </c>
      <c r="I818" s="274" t="s">
        <v>2665</v>
      </c>
      <c r="J818" s="267" t="s">
        <v>7288</v>
      </c>
      <c r="K818" s="326">
        <v>40.58</v>
      </c>
      <c r="L818" s="266" t="s">
        <v>4896</v>
      </c>
      <c r="M818" s="268" t="s">
        <v>3402</v>
      </c>
      <c r="N818" s="267" t="s">
        <v>56</v>
      </c>
      <c r="O818" s="267"/>
      <c r="P818" s="267"/>
      <c r="Q818" s="274">
        <v>24642.68</v>
      </c>
      <c r="R818" s="267">
        <v>985707</v>
      </c>
      <c r="S818" s="292">
        <v>985707</v>
      </c>
      <c r="T818" s="292">
        <f t="shared" si="253"/>
        <v>0</v>
      </c>
      <c r="U818" s="267"/>
      <c r="V818" s="267">
        <v>2600</v>
      </c>
      <c r="W818" s="267">
        <v>550</v>
      </c>
      <c r="X818" s="267">
        <v>11143</v>
      </c>
      <c r="Y818" s="267" t="s">
        <v>2669</v>
      </c>
      <c r="Z818" s="267" t="s">
        <v>48</v>
      </c>
      <c r="AA818" s="304">
        <v>44021</v>
      </c>
      <c r="AB818" s="267"/>
      <c r="AC818" s="113"/>
      <c r="AD818" s="113"/>
      <c r="AE818" s="133"/>
      <c r="AF818" s="115"/>
      <c r="AG818" s="133"/>
      <c r="AH818" s="133"/>
      <c r="AI818" s="132">
        <f t="shared" si="263"/>
        <v>1000000</v>
      </c>
      <c r="AJ818" s="132">
        <f t="shared" si="264"/>
        <v>1000000</v>
      </c>
      <c r="AK818" s="133">
        <f t="shared" si="265"/>
        <v>0</v>
      </c>
      <c r="AL818" s="132"/>
      <c r="AM818" s="133" t="s">
        <v>900</v>
      </c>
      <c r="AN818" s="246">
        <v>44868</v>
      </c>
      <c r="AO818" s="137"/>
      <c r="AP818" s="97"/>
      <c r="AQ818" s="97"/>
      <c r="AR818" s="97"/>
      <c r="AS818" s="97"/>
      <c r="AT818" s="97"/>
      <c r="AU818" s="97"/>
      <c r="AV818" s="97"/>
      <c r="AW818" s="97"/>
      <c r="AX818" s="97"/>
      <c r="AY818" s="97"/>
      <c r="AZ818" s="97"/>
      <c r="BA818" s="97"/>
      <c r="BB818" s="97"/>
      <c r="BC818" s="97"/>
      <c r="BD818" s="97"/>
      <c r="BE818" s="97"/>
    </row>
    <row r="819" s="96" customFormat="1" customHeight="1" spans="1:57">
      <c r="A819" s="115" t="s">
        <v>7289</v>
      </c>
      <c r="B819" s="296" t="s">
        <v>7290</v>
      </c>
      <c r="C819" s="556" t="s">
        <v>7291</v>
      </c>
      <c r="D819" s="267" t="s">
        <v>7283</v>
      </c>
      <c r="E819" s="267">
        <v>13939086177</v>
      </c>
      <c r="F819" s="267">
        <v>3</v>
      </c>
      <c r="G819" s="268">
        <v>320</v>
      </c>
      <c r="H819" s="274">
        <v>40.02</v>
      </c>
      <c r="I819" s="274" t="s">
        <v>2665</v>
      </c>
      <c r="J819" s="267" t="s">
        <v>7292</v>
      </c>
      <c r="K819" s="326">
        <v>40.58</v>
      </c>
      <c r="L819" s="266" t="s">
        <v>4896</v>
      </c>
      <c r="M819" s="268" t="s">
        <v>3402</v>
      </c>
      <c r="N819" s="267" t="s">
        <v>56</v>
      </c>
      <c r="O819" s="267"/>
      <c r="P819" s="267"/>
      <c r="Q819" s="274">
        <v>24642.68</v>
      </c>
      <c r="R819" s="267">
        <v>986200</v>
      </c>
      <c r="S819" s="292">
        <v>986200</v>
      </c>
      <c r="T819" s="292">
        <f t="shared" si="253"/>
        <v>0</v>
      </c>
      <c r="U819" s="267"/>
      <c r="V819" s="267">
        <v>2601</v>
      </c>
      <c r="W819" s="267">
        <v>550</v>
      </c>
      <c r="X819" s="267">
        <v>10649</v>
      </c>
      <c r="Y819" s="267" t="s">
        <v>2669</v>
      </c>
      <c r="Z819" s="267" t="s">
        <v>48</v>
      </c>
      <c r="AA819" s="304">
        <v>44021</v>
      </c>
      <c r="AB819" s="267"/>
      <c r="AC819" s="113"/>
      <c r="AD819" s="113"/>
      <c r="AE819" s="133"/>
      <c r="AF819" s="115"/>
      <c r="AG819" s="133"/>
      <c r="AH819" s="133"/>
      <c r="AI819" s="132">
        <f t="shared" si="263"/>
        <v>1000000</v>
      </c>
      <c r="AJ819" s="132">
        <f t="shared" si="264"/>
        <v>1000000</v>
      </c>
      <c r="AK819" s="133">
        <f t="shared" si="265"/>
        <v>0</v>
      </c>
      <c r="AL819" s="132"/>
      <c r="AM819" s="133" t="s">
        <v>900</v>
      </c>
      <c r="AN819" s="246">
        <v>44868</v>
      </c>
      <c r="AO819" s="137"/>
      <c r="AP819" s="97"/>
      <c r="AQ819" s="97"/>
      <c r="AR819" s="97"/>
      <c r="AS819" s="97"/>
      <c r="AT819" s="97"/>
      <c r="AU819" s="97"/>
      <c r="AV819" s="97"/>
      <c r="AW819" s="97"/>
      <c r="AX819" s="97"/>
      <c r="AY819" s="97"/>
      <c r="AZ819" s="97"/>
      <c r="BA819" s="97"/>
      <c r="BB819" s="97"/>
      <c r="BC819" s="97"/>
      <c r="BD819" s="97"/>
      <c r="BE819" s="97"/>
    </row>
    <row r="820" s="96" customFormat="1" customHeight="1" spans="1:57">
      <c r="A820" s="115" t="s">
        <v>7293</v>
      </c>
      <c r="B820" s="111" t="s">
        <v>7294</v>
      </c>
      <c r="C820" s="554" t="s">
        <v>7295</v>
      </c>
      <c r="D820" s="113" t="s">
        <v>7296</v>
      </c>
      <c r="E820" s="113">
        <v>13781614287</v>
      </c>
      <c r="F820" s="267">
        <v>1</v>
      </c>
      <c r="G820" s="268">
        <v>1771</v>
      </c>
      <c r="H820" s="274">
        <v>15.32</v>
      </c>
      <c r="I820" s="274" t="s">
        <v>2657</v>
      </c>
      <c r="J820" s="113" t="s">
        <v>7297</v>
      </c>
      <c r="K820" s="113">
        <v>16.01</v>
      </c>
      <c r="L820" s="266" t="s">
        <v>4139</v>
      </c>
      <c r="M820" s="266" t="s">
        <v>4139</v>
      </c>
      <c r="N820" s="113" t="s">
        <v>66</v>
      </c>
      <c r="O820" s="113"/>
      <c r="P820" s="113"/>
      <c r="Q820" s="113">
        <v>47062.34</v>
      </c>
      <c r="R820" s="113">
        <v>753468</v>
      </c>
      <c r="S820" s="121">
        <v>383468</v>
      </c>
      <c r="T820" s="292">
        <f t="shared" si="253"/>
        <v>370000</v>
      </c>
      <c r="U820" s="113"/>
      <c r="V820" s="113"/>
      <c r="W820" s="113"/>
      <c r="X820" s="113"/>
      <c r="Y820" s="113"/>
      <c r="Z820" s="113"/>
      <c r="AA820" s="113"/>
      <c r="AB820" s="113"/>
      <c r="AC820" s="113"/>
      <c r="AD820" s="113"/>
      <c r="AE820" s="133"/>
      <c r="AF820" s="115"/>
      <c r="AG820" s="133"/>
      <c r="AH820" s="133"/>
      <c r="AI820" s="132">
        <f t="shared" si="263"/>
        <v>383468</v>
      </c>
      <c r="AJ820" s="132">
        <f t="shared" si="264"/>
        <v>383468</v>
      </c>
      <c r="AK820" s="133">
        <f t="shared" si="265"/>
        <v>0</v>
      </c>
      <c r="AL820" s="132"/>
      <c r="AM820" s="133" t="s">
        <v>900</v>
      </c>
      <c r="AN820" s="246">
        <v>44868</v>
      </c>
      <c r="AO820" s="137"/>
      <c r="AP820" s="97"/>
      <c r="AQ820" s="97"/>
      <c r="AR820" s="97"/>
      <c r="AS820" s="97"/>
      <c r="AT820" s="97"/>
      <c r="AU820" s="97"/>
      <c r="AV820" s="97"/>
      <c r="AW820" s="97"/>
      <c r="AX820" s="97"/>
      <c r="AY820" s="97"/>
      <c r="AZ820" s="97"/>
      <c r="BA820" s="97"/>
      <c r="BB820" s="97"/>
      <c r="BC820" s="97"/>
      <c r="BD820" s="97"/>
      <c r="BE820" s="97"/>
    </row>
    <row r="821" s="96" customFormat="1" customHeight="1" spans="1:57">
      <c r="A821" s="115" t="s">
        <v>7298</v>
      </c>
      <c r="B821" s="111" t="s">
        <v>7299</v>
      </c>
      <c r="C821" s="111" t="s">
        <v>7300</v>
      </c>
      <c r="D821" s="121" t="s">
        <v>7301</v>
      </c>
      <c r="E821" s="113">
        <v>13939047080</v>
      </c>
      <c r="F821" s="267">
        <v>3</v>
      </c>
      <c r="G821" s="268">
        <v>3590</v>
      </c>
      <c r="H821" s="274">
        <v>13.42</v>
      </c>
      <c r="I821" s="274" t="s">
        <v>2657</v>
      </c>
      <c r="J821" s="113" t="s">
        <v>7302</v>
      </c>
      <c r="K821" s="113">
        <v>12.04</v>
      </c>
      <c r="L821" s="266" t="s">
        <v>2961</v>
      </c>
      <c r="M821" s="266" t="s">
        <v>3073</v>
      </c>
      <c r="N821" s="113" t="s">
        <v>66</v>
      </c>
      <c r="O821" s="113"/>
      <c r="P821" s="113"/>
      <c r="Q821" s="113">
        <v>32409.22</v>
      </c>
      <c r="R821" s="113">
        <v>390207</v>
      </c>
      <c r="S821" s="121">
        <v>200207</v>
      </c>
      <c r="T821" s="292">
        <f t="shared" si="253"/>
        <v>190000</v>
      </c>
      <c r="U821" s="113"/>
      <c r="V821" s="113"/>
      <c r="W821" s="113"/>
      <c r="X821" s="113"/>
      <c r="Y821" s="113"/>
      <c r="Z821" s="113"/>
      <c r="AA821" s="113"/>
      <c r="AB821" s="113"/>
      <c r="AC821" s="113"/>
      <c r="AD821" s="113"/>
      <c r="AE821" s="133"/>
      <c r="AF821" s="115"/>
      <c r="AG821" s="133"/>
      <c r="AH821" s="133"/>
      <c r="AI821" s="132">
        <f t="shared" si="263"/>
        <v>200207</v>
      </c>
      <c r="AJ821" s="132">
        <f t="shared" si="264"/>
        <v>200207</v>
      </c>
      <c r="AK821" s="133">
        <f t="shared" si="265"/>
        <v>0</v>
      </c>
      <c r="AL821" s="132"/>
      <c r="AM821" s="133" t="s">
        <v>900</v>
      </c>
      <c r="AN821" s="246">
        <v>44868</v>
      </c>
      <c r="AO821" s="137"/>
      <c r="AP821" s="97"/>
      <c r="AQ821" s="97"/>
      <c r="AR821" s="97"/>
      <c r="AS821" s="97"/>
      <c r="AT821" s="97"/>
      <c r="AU821" s="97"/>
      <c r="AV821" s="97"/>
      <c r="AW821" s="97"/>
      <c r="AX821" s="97"/>
      <c r="AY821" s="97"/>
      <c r="AZ821" s="97"/>
      <c r="BA821" s="97"/>
      <c r="BB821" s="97"/>
      <c r="BC821" s="97"/>
      <c r="BD821" s="97"/>
      <c r="BE821" s="97"/>
    </row>
    <row r="822" s="96" customFormat="1" customHeight="1" spans="1:57">
      <c r="A822" s="115" t="s">
        <v>7303</v>
      </c>
      <c r="B822" s="111" t="s">
        <v>7304</v>
      </c>
      <c r="C822" s="111" t="s">
        <v>7305</v>
      </c>
      <c r="D822" s="121" t="s">
        <v>7306</v>
      </c>
      <c r="E822" s="113">
        <v>15838885519</v>
      </c>
      <c r="F822" s="267">
        <v>3</v>
      </c>
      <c r="G822" s="268">
        <v>3315</v>
      </c>
      <c r="H822" s="274">
        <v>16.74</v>
      </c>
      <c r="I822" s="274" t="s">
        <v>2657</v>
      </c>
      <c r="J822" s="113" t="s">
        <v>7307</v>
      </c>
      <c r="K822" s="116">
        <v>14.71</v>
      </c>
      <c r="L822" s="266" t="s">
        <v>3049</v>
      </c>
      <c r="M822" s="266" t="s">
        <v>3508</v>
      </c>
      <c r="N822" s="113" t="s">
        <v>66</v>
      </c>
      <c r="O822" s="113"/>
      <c r="P822" s="113"/>
      <c r="Q822" s="113">
        <v>32735.49</v>
      </c>
      <c r="R822" s="113">
        <v>481539</v>
      </c>
      <c r="S822" s="121">
        <v>241539</v>
      </c>
      <c r="T822" s="292">
        <f t="shared" si="253"/>
        <v>240000</v>
      </c>
      <c r="U822" s="113"/>
      <c r="V822" s="113"/>
      <c r="W822" s="113"/>
      <c r="X822" s="113"/>
      <c r="Y822" s="113"/>
      <c r="Z822" s="113"/>
      <c r="AA822" s="113"/>
      <c r="AB822" s="113" t="s">
        <v>7308</v>
      </c>
      <c r="AC822" s="113"/>
      <c r="AD822" s="113"/>
      <c r="AE822" s="133"/>
      <c r="AF822" s="115"/>
      <c r="AG822" s="133"/>
      <c r="AH822" s="133"/>
      <c r="AI822" s="132">
        <f t="shared" si="263"/>
        <v>241539</v>
      </c>
      <c r="AJ822" s="132">
        <f t="shared" si="264"/>
        <v>241539</v>
      </c>
      <c r="AK822" s="133">
        <f t="shared" si="265"/>
        <v>0</v>
      </c>
      <c r="AL822" s="132"/>
      <c r="AM822" s="133" t="s">
        <v>900</v>
      </c>
      <c r="AN822" s="246">
        <v>44868</v>
      </c>
      <c r="AO822" s="137"/>
      <c r="AP822" s="97"/>
      <c r="AQ822" s="97"/>
      <c r="AR822" s="97"/>
      <c r="AS822" s="97"/>
      <c r="AT822" s="97"/>
      <c r="AU822" s="97"/>
      <c r="AV822" s="97"/>
      <c r="AW822" s="97"/>
      <c r="AX822" s="97"/>
      <c r="AY822" s="97"/>
      <c r="AZ822" s="97"/>
      <c r="BA822" s="97"/>
      <c r="BB822" s="97"/>
      <c r="BC822" s="97"/>
      <c r="BD822" s="97"/>
      <c r="BE822" s="97"/>
    </row>
    <row r="823" s="96" customFormat="1" customHeight="1" spans="1:57">
      <c r="A823" s="106" t="s">
        <v>7309</v>
      </c>
      <c r="B823" s="111" t="s">
        <v>7310</v>
      </c>
      <c r="C823" s="554" t="s">
        <v>7311</v>
      </c>
      <c r="D823" s="113" t="s">
        <v>7312</v>
      </c>
      <c r="E823" s="113">
        <v>18595908039</v>
      </c>
      <c r="F823" s="267">
        <v>4</v>
      </c>
      <c r="G823" s="268">
        <v>4390</v>
      </c>
      <c r="H823" s="274">
        <v>12.19</v>
      </c>
      <c r="I823" s="274" t="s">
        <v>2657</v>
      </c>
      <c r="J823" s="113" t="s">
        <v>7313</v>
      </c>
      <c r="K823" s="113">
        <v>10.69</v>
      </c>
      <c r="L823" s="266" t="s">
        <v>5427</v>
      </c>
      <c r="M823" s="266" t="s">
        <v>3297</v>
      </c>
      <c r="N823" s="113" t="s">
        <v>66</v>
      </c>
      <c r="O823" s="113"/>
      <c r="P823" s="113"/>
      <c r="Q823" s="113">
        <v>27501.22</v>
      </c>
      <c r="R823" s="113">
        <v>293988</v>
      </c>
      <c r="S823" s="121">
        <v>153988</v>
      </c>
      <c r="T823" s="292">
        <f t="shared" si="253"/>
        <v>140000</v>
      </c>
      <c r="U823" s="113"/>
      <c r="V823" s="113"/>
      <c r="W823" s="113"/>
      <c r="X823" s="113"/>
      <c r="Y823" s="113"/>
      <c r="Z823" s="113"/>
      <c r="AA823" s="113"/>
      <c r="AB823" s="113"/>
      <c r="AC823" s="246"/>
      <c r="AD823" s="115"/>
      <c r="AE823" s="115"/>
      <c r="AF823" s="115"/>
      <c r="AG823" s="115"/>
      <c r="AH823" s="115"/>
      <c r="AI823" s="132">
        <f t="shared" si="263"/>
        <v>153988</v>
      </c>
      <c r="AJ823" s="132">
        <f t="shared" si="264"/>
        <v>153988</v>
      </c>
      <c r="AK823" s="133">
        <f t="shared" si="265"/>
        <v>0</v>
      </c>
      <c r="AL823" s="115"/>
      <c r="AM823" s="115" t="s">
        <v>974</v>
      </c>
      <c r="AN823" s="246">
        <v>44868</v>
      </c>
      <c r="AO823" s="137"/>
      <c r="AP823" s="97"/>
      <c r="AQ823" s="97"/>
      <c r="AR823" s="97"/>
      <c r="AS823" s="97"/>
      <c r="AT823" s="97"/>
      <c r="AU823" s="97"/>
      <c r="AV823" s="97"/>
      <c r="AW823" s="97"/>
      <c r="AX823" s="97"/>
      <c r="AY823" s="97"/>
      <c r="AZ823" s="97"/>
      <c r="BA823" s="97"/>
      <c r="BB823" s="97"/>
      <c r="BC823" s="97"/>
      <c r="BD823" s="97"/>
      <c r="BE823" s="97"/>
    </row>
    <row r="824" s="96" customFormat="1" customHeight="1" spans="1:57">
      <c r="A824" s="106" t="s">
        <v>7314</v>
      </c>
      <c r="B824" s="336" t="s">
        <v>7315</v>
      </c>
      <c r="C824" s="336" t="s">
        <v>7316</v>
      </c>
      <c r="D824" s="266" t="s">
        <v>7317</v>
      </c>
      <c r="E824" s="266" t="s">
        <v>7318</v>
      </c>
      <c r="F824" s="267">
        <v>2</v>
      </c>
      <c r="G824" s="268">
        <v>2146</v>
      </c>
      <c r="H824" s="274">
        <v>19.43</v>
      </c>
      <c r="I824" s="274" t="s">
        <v>2665</v>
      </c>
      <c r="J824" s="113" t="s">
        <v>7319</v>
      </c>
      <c r="K824" s="116">
        <v>19.58</v>
      </c>
      <c r="L824" s="266" t="s">
        <v>2712</v>
      </c>
      <c r="M824" s="266" t="s">
        <v>3319</v>
      </c>
      <c r="N824" s="266" t="s">
        <v>56</v>
      </c>
      <c r="O824" s="266"/>
      <c r="P824" s="266"/>
      <c r="Q824" s="116">
        <v>33850.46</v>
      </c>
      <c r="R824" s="121">
        <v>657714</v>
      </c>
      <c r="S824" s="121">
        <v>657714</v>
      </c>
      <c r="T824" s="292">
        <f t="shared" si="253"/>
        <v>0</v>
      </c>
      <c r="U824" s="267"/>
      <c r="V824" s="267">
        <v>1262</v>
      </c>
      <c r="W824" s="267">
        <v>550</v>
      </c>
      <c r="X824" s="267">
        <v>3266</v>
      </c>
      <c r="Y824" s="267" t="s">
        <v>2669</v>
      </c>
      <c r="Z824" s="267"/>
      <c r="AA824" s="267"/>
      <c r="AB824" s="267"/>
      <c r="AC824" s="246"/>
      <c r="AD824" s="115"/>
      <c r="AE824" s="115"/>
      <c r="AF824" s="115"/>
      <c r="AG824" s="115"/>
      <c r="AH824" s="115"/>
      <c r="AI824" s="132">
        <f t="shared" si="263"/>
        <v>662792</v>
      </c>
      <c r="AJ824" s="132">
        <f t="shared" si="264"/>
        <v>662792</v>
      </c>
      <c r="AK824" s="133">
        <f t="shared" si="265"/>
        <v>0</v>
      </c>
      <c r="AL824" s="115"/>
      <c r="AM824" s="115" t="s">
        <v>974</v>
      </c>
      <c r="AN824" s="246">
        <v>44868</v>
      </c>
      <c r="AO824" s="137"/>
      <c r="AP824" s="97"/>
      <c r="AQ824" s="97"/>
      <c r="AR824" s="97"/>
      <c r="AS824" s="97"/>
      <c r="AT824" s="97"/>
      <c r="AU824" s="97"/>
      <c r="AV824" s="97"/>
      <c r="AW824" s="97"/>
      <c r="AX824" s="97"/>
      <c r="AY824" s="97"/>
      <c r="AZ824" s="97"/>
      <c r="BA824" s="97"/>
      <c r="BB824" s="97"/>
      <c r="BC824" s="97"/>
      <c r="BD824" s="97"/>
      <c r="BE824" s="97"/>
    </row>
    <row r="825" s="96" customFormat="1" customHeight="1" spans="1:57">
      <c r="A825" s="106" t="s">
        <v>7320</v>
      </c>
      <c r="B825" s="111" t="s">
        <v>7321</v>
      </c>
      <c r="C825" s="111" t="s">
        <v>7322</v>
      </c>
      <c r="D825" s="121" t="s">
        <v>7323</v>
      </c>
      <c r="E825" s="113">
        <v>13838339609</v>
      </c>
      <c r="F825" s="267">
        <v>3</v>
      </c>
      <c r="G825" s="268">
        <v>3808</v>
      </c>
      <c r="H825" s="274">
        <v>25.11</v>
      </c>
      <c r="I825" s="274" t="s">
        <v>2657</v>
      </c>
      <c r="J825" s="113" t="s">
        <v>7324</v>
      </c>
      <c r="K825" s="113">
        <v>22.97</v>
      </c>
      <c r="L825" s="266" t="s">
        <v>6757</v>
      </c>
      <c r="M825" s="266" t="s">
        <v>7325</v>
      </c>
      <c r="N825" s="113" t="s">
        <v>56</v>
      </c>
      <c r="O825" s="113"/>
      <c r="P825" s="113"/>
      <c r="Q825" s="113">
        <v>31045.58</v>
      </c>
      <c r="R825" s="113">
        <v>779555</v>
      </c>
      <c r="S825" s="121">
        <v>779555</v>
      </c>
      <c r="T825" s="292">
        <f t="shared" si="253"/>
        <v>0</v>
      </c>
      <c r="U825" s="113"/>
      <c r="V825" s="113">
        <v>1632</v>
      </c>
      <c r="W825" s="113">
        <v>550</v>
      </c>
      <c r="X825" s="113"/>
      <c r="Y825" s="113" t="s">
        <v>2669</v>
      </c>
      <c r="Z825" s="113"/>
      <c r="AA825" s="113"/>
      <c r="AB825" s="113"/>
      <c r="AC825" s="246"/>
      <c r="AD825" s="115"/>
      <c r="AE825" s="115"/>
      <c r="AF825" s="115"/>
      <c r="AG825" s="115"/>
      <c r="AH825" s="115"/>
      <c r="AI825" s="132">
        <f t="shared" si="263"/>
        <v>781737</v>
      </c>
      <c r="AJ825" s="132">
        <f t="shared" si="264"/>
        <v>781737</v>
      </c>
      <c r="AK825" s="133">
        <f t="shared" si="265"/>
        <v>0</v>
      </c>
      <c r="AL825" s="115"/>
      <c r="AM825" s="115" t="s">
        <v>974</v>
      </c>
      <c r="AN825" s="246">
        <v>44868</v>
      </c>
      <c r="AO825" s="137"/>
      <c r="AP825" s="97"/>
      <c r="AQ825" s="97"/>
      <c r="AR825" s="97"/>
      <c r="AS825" s="97"/>
      <c r="AT825" s="97"/>
      <c r="AU825" s="97"/>
      <c r="AV825" s="97"/>
      <c r="AW825" s="97"/>
      <c r="AX825" s="97"/>
      <c r="AY825" s="97"/>
      <c r="AZ825" s="97"/>
      <c r="BA825" s="97"/>
      <c r="BB825" s="97"/>
      <c r="BC825" s="97"/>
      <c r="BD825" s="97"/>
      <c r="BE825" s="97"/>
    </row>
    <row r="826" s="96" customFormat="1" customHeight="1" spans="1:57">
      <c r="A826" s="106" t="s">
        <v>7326</v>
      </c>
      <c r="B826" s="111" t="s">
        <v>7327</v>
      </c>
      <c r="C826" s="111" t="s">
        <v>7328</v>
      </c>
      <c r="D826" s="121" t="s">
        <v>7329</v>
      </c>
      <c r="E826" s="113">
        <v>15981995986</v>
      </c>
      <c r="F826" s="267">
        <v>3</v>
      </c>
      <c r="G826" s="268">
        <v>3121</v>
      </c>
      <c r="H826" s="274">
        <v>16.59</v>
      </c>
      <c r="I826" s="274" t="s">
        <v>2657</v>
      </c>
      <c r="J826" s="113" t="s">
        <v>7330</v>
      </c>
      <c r="K826" s="116">
        <v>13.22</v>
      </c>
      <c r="L826" s="266" t="s">
        <v>3326</v>
      </c>
      <c r="M826" s="266" t="s">
        <v>3060</v>
      </c>
      <c r="N826" s="113" t="s">
        <v>66</v>
      </c>
      <c r="O826" s="113"/>
      <c r="P826" s="113"/>
      <c r="Q826" s="113">
        <v>32085.1</v>
      </c>
      <c r="R826" s="113">
        <v>424165</v>
      </c>
      <c r="S826" s="121">
        <v>214165</v>
      </c>
      <c r="T826" s="292">
        <f t="shared" si="253"/>
        <v>210000</v>
      </c>
      <c r="U826" s="113"/>
      <c r="V826" s="113"/>
      <c r="W826" s="113"/>
      <c r="X826" s="113"/>
      <c r="Y826" s="113"/>
      <c r="Z826" s="113"/>
      <c r="AA826" s="113"/>
      <c r="AB826" s="113"/>
      <c r="AC826" s="246"/>
      <c r="AD826" s="115"/>
      <c r="AE826" s="115"/>
      <c r="AF826" s="115"/>
      <c r="AG826" s="115"/>
      <c r="AH826" s="115"/>
      <c r="AI826" s="132">
        <f t="shared" si="263"/>
        <v>214165</v>
      </c>
      <c r="AJ826" s="132">
        <f t="shared" si="264"/>
        <v>214165</v>
      </c>
      <c r="AK826" s="133">
        <f t="shared" si="265"/>
        <v>0</v>
      </c>
      <c r="AL826" s="115"/>
      <c r="AM826" s="115" t="s">
        <v>974</v>
      </c>
      <c r="AN826" s="246">
        <v>44868</v>
      </c>
      <c r="AO826" s="137"/>
      <c r="AP826" s="97"/>
      <c r="AQ826" s="97"/>
      <c r="AR826" s="97"/>
      <c r="AS826" s="97"/>
      <c r="AT826" s="97"/>
      <c r="AU826" s="97"/>
      <c r="AV826" s="97"/>
      <c r="AW826" s="97"/>
      <c r="AX826" s="97"/>
      <c r="AY826" s="97"/>
      <c r="AZ826" s="97"/>
      <c r="BA826" s="97"/>
      <c r="BB826" s="97"/>
      <c r="BC826" s="97"/>
      <c r="BD826" s="97"/>
      <c r="BE826" s="97"/>
    </row>
    <row r="827" s="96" customFormat="1" customHeight="1" spans="1:57">
      <c r="A827" s="106" t="s">
        <v>7331</v>
      </c>
      <c r="B827" s="111" t="s">
        <v>7332</v>
      </c>
      <c r="C827" s="111" t="s">
        <v>7333</v>
      </c>
      <c r="D827" s="121" t="s">
        <v>7334</v>
      </c>
      <c r="E827" s="113">
        <v>13273028355</v>
      </c>
      <c r="F827" s="267">
        <v>3</v>
      </c>
      <c r="G827" s="268">
        <v>3445</v>
      </c>
      <c r="H827" s="274">
        <v>15.3</v>
      </c>
      <c r="I827" s="274" t="s">
        <v>2657</v>
      </c>
      <c r="J827" s="113" t="s">
        <v>7335</v>
      </c>
      <c r="K827" s="113">
        <v>12.6</v>
      </c>
      <c r="L827" s="266" t="s">
        <v>3558</v>
      </c>
      <c r="M827" s="266" t="s">
        <v>2676</v>
      </c>
      <c r="N827" s="113" t="s">
        <v>66</v>
      </c>
      <c r="O827" s="113"/>
      <c r="P827" s="113"/>
      <c r="Q827" s="113">
        <v>33208.17</v>
      </c>
      <c r="R827" s="113">
        <v>418423</v>
      </c>
      <c r="S827" s="121">
        <v>218423</v>
      </c>
      <c r="T827" s="292">
        <f t="shared" si="253"/>
        <v>200000</v>
      </c>
      <c r="U827" s="113"/>
      <c r="V827" s="113"/>
      <c r="W827" s="113"/>
      <c r="X827" s="113"/>
      <c r="Y827" s="113"/>
      <c r="Z827" s="113"/>
      <c r="AA827" s="113"/>
      <c r="AB827" s="113"/>
      <c r="AC827" s="246"/>
      <c r="AD827" s="115"/>
      <c r="AE827" s="115"/>
      <c r="AF827" s="115"/>
      <c r="AG827" s="115"/>
      <c r="AH827" s="115"/>
      <c r="AI827" s="132">
        <f t="shared" si="263"/>
        <v>218423</v>
      </c>
      <c r="AJ827" s="132">
        <f t="shared" si="264"/>
        <v>218423</v>
      </c>
      <c r="AK827" s="133">
        <f t="shared" si="265"/>
        <v>0</v>
      </c>
      <c r="AL827" s="115"/>
      <c r="AM827" s="115" t="s">
        <v>974</v>
      </c>
      <c r="AN827" s="246">
        <v>44868</v>
      </c>
      <c r="AO827" s="137"/>
      <c r="AP827" s="97"/>
      <c r="AQ827" s="97"/>
      <c r="AR827" s="97"/>
      <c r="AS827" s="97"/>
      <c r="AT827" s="97"/>
      <c r="AU827" s="97"/>
      <c r="AV827" s="97"/>
      <c r="AW827" s="97"/>
      <c r="AX827" s="97"/>
      <c r="AY827" s="97"/>
      <c r="AZ827" s="97"/>
      <c r="BA827" s="97"/>
      <c r="BB827" s="97"/>
      <c r="BC827" s="97"/>
      <c r="BD827" s="97"/>
      <c r="BE827" s="97"/>
    </row>
    <row r="828" s="96" customFormat="1" customHeight="1" spans="1:57">
      <c r="A828" s="106" t="s">
        <v>7336</v>
      </c>
      <c r="B828" s="336" t="s">
        <v>7337</v>
      </c>
      <c r="C828" s="336" t="s">
        <v>7338</v>
      </c>
      <c r="D828" s="266" t="s">
        <v>7339</v>
      </c>
      <c r="E828" s="266" t="s">
        <v>7340</v>
      </c>
      <c r="F828" s="267">
        <v>4</v>
      </c>
      <c r="G828" s="268">
        <v>4123</v>
      </c>
      <c r="H828" s="274">
        <v>24.88</v>
      </c>
      <c r="I828" s="274" t="s">
        <v>2665</v>
      </c>
      <c r="J828" s="113" t="s">
        <v>7341</v>
      </c>
      <c r="K828" s="116">
        <v>25.48</v>
      </c>
      <c r="L828" s="266" t="s">
        <v>3245</v>
      </c>
      <c r="M828" s="266" t="s">
        <v>3402</v>
      </c>
      <c r="N828" s="266" t="s">
        <v>66</v>
      </c>
      <c r="O828" s="266"/>
      <c r="P828" s="266"/>
      <c r="Q828" s="116">
        <v>26898.31</v>
      </c>
      <c r="R828" s="121">
        <v>669230</v>
      </c>
      <c r="S828" s="121">
        <v>349230</v>
      </c>
      <c r="T828" s="292">
        <f t="shared" si="253"/>
        <v>320000</v>
      </c>
      <c r="U828" s="113"/>
      <c r="V828" s="113">
        <v>1617</v>
      </c>
      <c r="W828" s="113">
        <v>550</v>
      </c>
      <c r="X828" s="113"/>
      <c r="Y828" s="113" t="s">
        <v>2669</v>
      </c>
      <c r="Z828" s="113"/>
      <c r="AA828" s="113"/>
      <c r="AB828" s="266"/>
      <c r="AC828" s="246"/>
      <c r="AD828" s="115"/>
      <c r="AE828" s="115"/>
      <c r="AF828" s="115"/>
      <c r="AG828" s="115"/>
      <c r="AH828" s="115"/>
      <c r="AI828" s="132">
        <f t="shared" ref="AI828:AI833" si="266">S828+U828+V828+W828+X828+AC828+AD828+AE828</f>
        <v>351397</v>
      </c>
      <c r="AJ828" s="132">
        <f t="shared" ref="AJ828:AJ833" si="267">S828+U828+V828+W828+X828</f>
        <v>351397</v>
      </c>
      <c r="AK828" s="133">
        <f t="shared" ref="AK828:AK833" si="268">AI828-AJ828</f>
        <v>0</v>
      </c>
      <c r="AL828" s="115"/>
      <c r="AM828" s="115" t="s">
        <v>974</v>
      </c>
      <c r="AN828" s="246">
        <v>44868</v>
      </c>
      <c r="AO828" s="137"/>
      <c r="AP828" s="97"/>
      <c r="AQ828" s="97"/>
      <c r="AR828" s="97"/>
      <c r="AS828" s="97"/>
      <c r="AT828" s="97"/>
      <c r="AU828" s="97"/>
      <c r="AV828" s="97"/>
      <c r="AW828" s="97"/>
      <c r="AX828" s="97"/>
      <c r="AY828" s="97"/>
      <c r="AZ828" s="97"/>
      <c r="BA828" s="97"/>
      <c r="BB828" s="97"/>
      <c r="BC828" s="97"/>
      <c r="BD828" s="97"/>
      <c r="BE828" s="97"/>
    </row>
    <row r="829" s="96" customFormat="1" customHeight="1" spans="1:57">
      <c r="A829" s="106" t="s">
        <v>7342</v>
      </c>
      <c r="B829" s="111" t="s">
        <v>7343</v>
      </c>
      <c r="C829" s="554" t="s">
        <v>7344</v>
      </c>
      <c r="D829" s="113" t="s">
        <v>7345</v>
      </c>
      <c r="E829" s="113">
        <v>15937460999</v>
      </c>
      <c r="F829" s="267">
        <v>1</v>
      </c>
      <c r="G829" s="268">
        <v>1739</v>
      </c>
      <c r="H829" s="274">
        <v>22.39</v>
      </c>
      <c r="I829" s="274" t="s">
        <v>2657</v>
      </c>
      <c r="J829" s="113" t="s">
        <v>7346</v>
      </c>
      <c r="K829" s="113">
        <v>21.8</v>
      </c>
      <c r="L829" s="266" t="s">
        <v>2675</v>
      </c>
      <c r="M829" s="266" t="s">
        <v>5198</v>
      </c>
      <c r="N829" s="113" t="s">
        <v>66</v>
      </c>
      <c r="O829" s="113"/>
      <c r="P829" s="113"/>
      <c r="Q829" s="113">
        <v>47247.71</v>
      </c>
      <c r="R829" s="113">
        <v>1057876</v>
      </c>
      <c r="S829" s="121">
        <v>537876</v>
      </c>
      <c r="T829" s="292">
        <f t="shared" si="253"/>
        <v>520000</v>
      </c>
      <c r="U829" s="113"/>
      <c r="V829" s="113">
        <v>1455</v>
      </c>
      <c r="W829" s="113">
        <v>550</v>
      </c>
      <c r="X829" s="113"/>
      <c r="Y829" s="113"/>
      <c r="Z829" s="113"/>
      <c r="AA829" s="113"/>
      <c r="AB829" s="113"/>
      <c r="AC829" s="246"/>
      <c r="AD829" s="115"/>
      <c r="AE829" s="115"/>
      <c r="AF829" s="115"/>
      <c r="AG829" s="115"/>
      <c r="AH829" s="115"/>
      <c r="AI829" s="132">
        <f t="shared" si="266"/>
        <v>539881</v>
      </c>
      <c r="AJ829" s="132">
        <f t="shared" si="267"/>
        <v>539881</v>
      </c>
      <c r="AK829" s="133">
        <f t="shared" si="268"/>
        <v>0</v>
      </c>
      <c r="AL829" s="115"/>
      <c r="AM829" s="115" t="s">
        <v>974</v>
      </c>
      <c r="AN829" s="246">
        <v>44868</v>
      </c>
      <c r="AO829" s="137"/>
      <c r="AP829" s="97"/>
      <c r="AQ829" s="97"/>
      <c r="AR829" s="97"/>
      <c r="AS829" s="97"/>
      <c r="AT829" s="97"/>
      <c r="AU829" s="97"/>
      <c r="AV829" s="97"/>
      <c r="AW829" s="97"/>
      <c r="AX829" s="97"/>
      <c r="AY829" s="97"/>
      <c r="AZ829" s="97"/>
      <c r="BA829" s="97"/>
      <c r="BB829" s="97"/>
      <c r="BC829" s="97"/>
      <c r="BD829" s="97"/>
      <c r="BE829" s="97"/>
    </row>
    <row r="830" s="96" customFormat="1" customHeight="1" spans="1:57">
      <c r="A830" s="106" t="s">
        <v>7347</v>
      </c>
      <c r="B830" s="111" t="s">
        <v>7348</v>
      </c>
      <c r="C830" s="111" t="s">
        <v>7349</v>
      </c>
      <c r="D830" s="121" t="s">
        <v>7350</v>
      </c>
      <c r="E830" s="113">
        <v>13733814153</v>
      </c>
      <c r="F830" s="267">
        <v>3</v>
      </c>
      <c r="G830" s="268">
        <v>3224</v>
      </c>
      <c r="H830" s="274">
        <v>14.68</v>
      </c>
      <c r="I830" s="274" t="s">
        <v>2657</v>
      </c>
      <c r="J830" s="113" t="s">
        <v>7351</v>
      </c>
      <c r="K830" s="116">
        <v>13.82</v>
      </c>
      <c r="L830" s="266" t="s">
        <v>3355</v>
      </c>
      <c r="M830" s="266" t="s">
        <v>2685</v>
      </c>
      <c r="N830" s="113" t="s">
        <v>66</v>
      </c>
      <c r="O830" s="113"/>
      <c r="P830" s="113"/>
      <c r="Q830" s="113">
        <v>32085.09</v>
      </c>
      <c r="R830" s="113">
        <v>471009</v>
      </c>
      <c r="S830" s="121">
        <v>241009</v>
      </c>
      <c r="T830" s="121"/>
      <c r="U830" s="113">
        <v>230000</v>
      </c>
      <c r="V830" s="113">
        <v>954</v>
      </c>
      <c r="W830" s="113">
        <v>550</v>
      </c>
      <c r="X830" s="113"/>
      <c r="Y830" s="113" t="s">
        <v>2669</v>
      </c>
      <c r="Z830" s="113" t="s">
        <v>48</v>
      </c>
      <c r="AA830" s="304">
        <v>44020</v>
      </c>
      <c r="AB830" s="113"/>
      <c r="AC830" s="321">
        <v>1243</v>
      </c>
      <c r="AD830" s="83"/>
      <c r="AE830" s="83"/>
      <c r="AF830" s="83"/>
      <c r="AG830" s="83"/>
      <c r="AH830" s="83"/>
      <c r="AI830" s="132">
        <f t="shared" si="266"/>
        <v>473756</v>
      </c>
      <c r="AJ830" s="132">
        <f t="shared" si="267"/>
        <v>472513</v>
      </c>
      <c r="AK830" s="133">
        <f t="shared" si="268"/>
        <v>1243</v>
      </c>
      <c r="AL830" s="115"/>
      <c r="AM830" s="115" t="s">
        <v>974</v>
      </c>
      <c r="AN830" s="246">
        <v>44868</v>
      </c>
      <c r="AO830" s="137"/>
      <c r="AP830" s="254"/>
      <c r="AQ830" s="254"/>
      <c r="AR830" s="254"/>
      <c r="AS830" s="254"/>
      <c r="AT830" s="254"/>
      <c r="AU830" s="254"/>
      <c r="AV830" s="254"/>
      <c r="AW830" s="254"/>
      <c r="AX830" s="254"/>
      <c r="AY830" s="254"/>
      <c r="AZ830" s="254"/>
      <c r="BA830" s="254"/>
      <c r="BB830" s="254"/>
      <c r="BC830" s="254"/>
      <c r="BD830" s="254"/>
      <c r="BE830" s="254"/>
    </row>
    <row r="831" s="96" customFormat="1" customHeight="1" spans="1:57">
      <c r="A831" s="106" t="s">
        <v>7352</v>
      </c>
      <c r="B831" s="111" t="s">
        <v>7353</v>
      </c>
      <c r="C831" s="556" t="s">
        <v>7354</v>
      </c>
      <c r="D831" s="267" t="s">
        <v>7355</v>
      </c>
      <c r="E831" s="267">
        <v>13733612858</v>
      </c>
      <c r="F831" s="267">
        <v>2</v>
      </c>
      <c r="G831" s="268">
        <v>290</v>
      </c>
      <c r="H831" s="274">
        <v>25.78</v>
      </c>
      <c r="I831" s="274" t="s">
        <v>2665</v>
      </c>
      <c r="J831" s="267" t="s">
        <v>7356</v>
      </c>
      <c r="K831" s="326">
        <v>26.18</v>
      </c>
      <c r="L831" s="268" t="s">
        <v>2711</v>
      </c>
      <c r="M831" s="268" t="s">
        <v>2883</v>
      </c>
      <c r="N831" s="113" t="s">
        <v>56</v>
      </c>
      <c r="O831" s="113"/>
      <c r="P831" s="113"/>
      <c r="Q831" s="274">
        <v>28426.8</v>
      </c>
      <c r="R831" s="113">
        <v>732843</v>
      </c>
      <c r="S831" s="292">
        <v>732843</v>
      </c>
      <c r="T831" s="292">
        <f t="shared" ref="T831:T843" si="269">R831-S831</f>
        <v>0</v>
      </c>
      <c r="U831" s="267"/>
      <c r="V831" s="267">
        <v>1675</v>
      </c>
      <c r="W831" s="267">
        <v>550</v>
      </c>
      <c r="X831" s="267">
        <v>9146</v>
      </c>
      <c r="Y831" s="267" t="s">
        <v>2669</v>
      </c>
      <c r="Z831" s="267" t="s">
        <v>48</v>
      </c>
      <c r="AA831" s="304">
        <v>44090</v>
      </c>
      <c r="AB831" s="267"/>
      <c r="AC831" s="246"/>
      <c r="AD831" s="83"/>
      <c r="AE831" s="83"/>
      <c r="AF831" s="83"/>
      <c r="AG831" s="83"/>
      <c r="AH831" s="83"/>
      <c r="AI831" s="132">
        <f t="shared" si="266"/>
        <v>744214</v>
      </c>
      <c r="AJ831" s="132">
        <f t="shared" si="267"/>
        <v>744214</v>
      </c>
      <c r="AK831" s="133">
        <f t="shared" si="268"/>
        <v>0</v>
      </c>
      <c r="AL831" s="193" t="s">
        <v>7357</v>
      </c>
      <c r="AM831" s="115" t="s">
        <v>974</v>
      </c>
      <c r="AN831" s="246">
        <v>44868</v>
      </c>
      <c r="AO831" s="137"/>
      <c r="AP831" s="97"/>
      <c r="AQ831" s="97"/>
      <c r="AR831" s="97"/>
      <c r="AS831" s="97"/>
      <c r="AT831" s="97"/>
      <c r="AU831" s="97"/>
      <c r="AV831" s="97"/>
      <c r="AW831" s="97"/>
      <c r="AX831" s="97"/>
      <c r="AY831" s="97"/>
      <c r="AZ831" s="97"/>
      <c r="BA831" s="97"/>
      <c r="BB831" s="97"/>
      <c r="BC831" s="97"/>
      <c r="BD831" s="97"/>
      <c r="BE831" s="97"/>
    </row>
    <row r="832" s="96" customFormat="1" customHeight="1" spans="1:57">
      <c r="A832" s="346" t="s">
        <v>7358</v>
      </c>
      <c r="B832" s="296" t="s">
        <v>7359</v>
      </c>
      <c r="C832" s="556" t="s">
        <v>7360</v>
      </c>
      <c r="D832" s="267" t="s">
        <v>7361</v>
      </c>
      <c r="E832" s="267">
        <v>13803866296</v>
      </c>
      <c r="F832" s="267">
        <v>2</v>
      </c>
      <c r="G832" s="268">
        <v>263</v>
      </c>
      <c r="H832" s="274">
        <v>31.11</v>
      </c>
      <c r="I832" s="274" t="s">
        <v>2665</v>
      </c>
      <c r="J832" s="267" t="s">
        <v>7362</v>
      </c>
      <c r="K832" s="274">
        <v>30.85</v>
      </c>
      <c r="L832" s="268" t="s">
        <v>2711</v>
      </c>
      <c r="M832" s="268" t="s">
        <v>7363</v>
      </c>
      <c r="N832" s="267" t="s">
        <v>56</v>
      </c>
      <c r="O832" s="267"/>
      <c r="P832" s="267"/>
      <c r="Q832" s="274">
        <v>28065.1215559157</v>
      </c>
      <c r="R832" s="267">
        <v>873106</v>
      </c>
      <c r="S832" s="292">
        <v>873106</v>
      </c>
      <c r="T832" s="292">
        <f t="shared" si="269"/>
        <v>0</v>
      </c>
      <c r="U832" s="267"/>
      <c r="V832" s="267">
        <v>2022</v>
      </c>
      <c r="W832" s="267">
        <v>550</v>
      </c>
      <c r="X832" s="267"/>
      <c r="Y832" s="267" t="s">
        <v>2669</v>
      </c>
      <c r="Z832" s="267" t="s">
        <v>48</v>
      </c>
      <c r="AA832" s="304">
        <v>44190</v>
      </c>
      <c r="AB832" s="267" t="s">
        <v>7364</v>
      </c>
      <c r="AC832" s="246"/>
      <c r="AD832" s="83"/>
      <c r="AE832" s="83"/>
      <c r="AF832" s="83"/>
      <c r="AG832" s="83"/>
      <c r="AH832" s="83"/>
      <c r="AI832" s="132">
        <f t="shared" si="266"/>
        <v>875678</v>
      </c>
      <c r="AJ832" s="341"/>
      <c r="AK832" s="133">
        <f t="shared" si="268"/>
        <v>875678</v>
      </c>
      <c r="AL832" s="337" t="s">
        <v>7365</v>
      </c>
      <c r="AM832" s="115" t="s">
        <v>974</v>
      </c>
      <c r="AN832" s="246">
        <v>44868</v>
      </c>
      <c r="AO832" s="137"/>
      <c r="AP832" s="254"/>
      <c r="AQ832" s="254"/>
      <c r="AR832" s="254"/>
      <c r="AS832" s="254"/>
      <c r="AT832" s="254"/>
      <c r="AU832" s="254"/>
      <c r="AV832" s="254"/>
      <c r="AW832" s="254"/>
      <c r="AX832" s="254"/>
      <c r="AY832" s="254"/>
      <c r="AZ832" s="254"/>
      <c r="BA832" s="254"/>
      <c r="BB832" s="254"/>
      <c r="BC832" s="254"/>
      <c r="BD832" s="254"/>
      <c r="BE832" s="254"/>
    </row>
    <row r="833" s="96" customFormat="1" customHeight="1" spans="1:57">
      <c r="A833" s="106" t="s">
        <v>7366</v>
      </c>
      <c r="B833" s="111" t="s">
        <v>7367</v>
      </c>
      <c r="C833" s="111" t="s">
        <v>7368</v>
      </c>
      <c r="D833" s="121" t="s">
        <v>7369</v>
      </c>
      <c r="E833" s="113">
        <v>13733857088</v>
      </c>
      <c r="F833" s="267">
        <v>3</v>
      </c>
      <c r="G833" s="268">
        <v>3154</v>
      </c>
      <c r="H833" s="274">
        <v>22.87</v>
      </c>
      <c r="I833" s="274" t="s">
        <v>2657</v>
      </c>
      <c r="J833" s="113" t="s">
        <v>7370</v>
      </c>
      <c r="K833" s="116">
        <v>18.34</v>
      </c>
      <c r="L833" s="266" t="s">
        <v>4311</v>
      </c>
      <c r="M833" s="266" t="s">
        <v>4670</v>
      </c>
      <c r="N833" s="113" t="s">
        <v>66</v>
      </c>
      <c r="O833" s="113"/>
      <c r="P833" s="113"/>
      <c r="Q833" s="113">
        <v>31972.41</v>
      </c>
      <c r="R833" s="113">
        <v>586374</v>
      </c>
      <c r="S833" s="121">
        <v>296374</v>
      </c>
      <c r="T833" s="292">
        <f t="shared" si="269"/>
        <v>290000</v>
      </c>
      <c r="U833" s="113"/>
      <c r="V833" s="113"/>
      <c r="W833" s="113"/>
      <c r="X833" s="113"/>
      <c r="Y833" s="113"/>
      <c r="Z833" s="113"/>
      <c r="AA833" s="113"/>
      <c r="AB833" s="113"/>
      <c r="AC833" s="246"/>
      <c r="AD833" s="83"/>
      <c r="AE833" s="83"/>
      <c r="AF833" s="83"/>
      <c r="AG833" s="83"/>
      <c r="AH833" s="83"/>
      <c r="AI833" s="132">
        <f t="shared" si="266"/>
        <v>296374</v>
      </c>
      <c r="AJ833" s="132">
        <f t="shared" si="267"/>
        <v>296374</v>
      </c>
      <c r="AK833" s="133">
        <f t="shared" si="268"/>
        <v>0</v>
      </c>
      <c r="AL833" s="115"/>
      <c r="AM833" s="115" t="s">
        <v>974</v>
      </c>
      <c r="AN833" s="246">
        <v>44868</v>
      </c>
      <c r="AO833" s="137"/>
      <c r="AP833" s="97"/>
      <c r="AQ833" s="97"/>
      <c r="AR833" s="97"/>
      <c r="AS833" s="97"/>
      <c r="AT833" s="97"/>
      <c r="AU833" s="97"/>
      <c r="AV833" s="97"/>
      <c r="AW833" s="97"/>
      <c r="AX833" s="97"/>
      <c r="AY833" s="97"/>
      <c r="AZ833" s="97"/>
      <c r="BA833" s="97"/>
      <c r="BB833" s="97"/>
      <c r="BC833" s="97"/>
      <c r="BD833" s="97"/>
      <c r="BE833" s="97"/>
    </row>
    <row r="834" s="96" customFormat="1" customHeight="1" spans="1:57">
      <c r="A834" s="106" t="s">
        <v>7371</v>
      </c>
      <c r="B834" s="111" t="s">
        <v>7367</v>
      </c>
      <c r="C834" s="111" t="s">
        <v>7368</v>
      </c>
      <c r="D834" s="121" t="s">
        <v>7369</v>
      </c>
      <c r="E834" s="113">
        <v>13733857088</v>
      </c>
      <c r="F834" s="267">
        <v>3</v>
      </c>
      <c r="G834" s="268">
        <v>3156</v>
      </c>
      <c r="H834" s="274">
        <v>20.4</v>
      </c>
      <c r="I834" s="274" t="s">
        <v>2657</v>
      </c>
      <c r="J834" s="113" t="s">
        <v>7372</v>
      </c>
      <c r="K834" s="116">
        <v>21.41</v>
      </c>
      <c r="L834" s="266" t="s">
        <v>4670</v>
      </c>
      <c r="M834" s="266" t="s">
        <v>4670</v>
      </c>
      <c r="N834" s="113" t="s">
        <v>66</v>
      </c>
      <c r="O834" s="113"/>
      <c r="P834" s="113"/>
      <c r="Q834" s="113">
        <v>31605.65</v>
      </c>
      <c r="R834" s="113">
        <v>676677</v>
      </c>
      <c r="S834" s="121">
        <v>346677</v>
      </c>
      <c r="T834" s="292">
        <f t="shared" si="269"/>
        <v>330000</v>
      </c>
      <c r="U834" s="113"/>
      <c r="V834" s="113"/>
      <c r="W834" s="113"/>
      <c r="X834" s="113"/>
      <c r="Y834" s="113"/>
      <c r="Z834" s="113"/>
      <c r="AA834" s="113"/>
      <c r="AB834" s="113"/>
      <c r="AC834" s="246"/>
      <c r="AD834" s="83"/>
      <c r="AE834" s="83"/>
      <c r="AF834" s="83"/>
      <c r="AG834" s="83"/>
      <c r="AH834" s="83"/>
      <c r="AI834" s="132">
        <f t="shared" ref="AI834:AI845" si="270">S834+U834+V834+W834+X834+AC834+AD834+AE834</f>
        <v>346677</v>
      </c>
      <c r="AJ834" s="132">
        <f t="shared" ref="AJ834:AJ845" si="271">S834+U834+V834+W834+X834</f>
        <v>346677</v>
      </c>
      <c r="AK834" s="133">
        <f t="shared" ref="AK834:AK845" si="272">AI834-AJ834</f>
        <v>0</v>
      </c>
      <c r="AL834" s="115"/>
      <c r="AM834" s="115" t="s">
        <v>974</v>
      </c>
      <c r="AN834" s="246">
        <v>44868</v>
      </c>
      <c r="AO834" s="137"/>
      <c r="AP834" s="97"/>
      <c r="AQ834" s="97"/>
      <c r="AR834" s="97"/>
      <c r="AS834" s="97"/>
      <c r="AT834" s="97"/>
      <c r="AU834" s="97"/>
      <c r="AV834" s="97"/>
      <c r="AW834" s="97"/>
      <c r="AX834" s="97"/>
      <c r="AY834" s="97"/>
      <c r="AZ834" s="97"/>
      <c r="BA834" s="97"/>
      <c r="BB834" s="97"/>
      <c r="BC834" s="97"/>
      <c r="BD834" s="97"/>
      <c r="BE834" s="97"/>
    </row>
    <row r="835" s="96" customFormat="1" customHeight="1" spans="1:57">
      <c r="A835" s="106" t="s">
        <v>7373</v>
      </c>
      <c r="B835" s="296" t="s">
        <v>7374</v>
      </c>
      <c r="C835" s="556" t="s">
        <v>7375</v>
      </c>
      <c r="D835" s="267" t="s">
        <v>7376</v>
      </c>
      <c r="E835" s="267" t="s">
        <v>7377</v>
      </c>
      <c r="F835" s="267">
        <v>1</v>
      </c>
      <c r="G835" s="268">
        <v>1133</v>
      </c>
      <c r="H835" s="274">
        <v>28.09</v>
      </c>
      <c r="I835" s="274" t="s">
        <v>2665</v>
      </c>
      <c r="J835" s="267" t="s">
        <v>7378</v>
      </c>
      <c r="K835" s="274">
        <v>32.2</v>
      </c>
      <c r="L835" s="268" t="s">
        <v>7379</v>
      </c>
      <c r="M835" s="268" t="s">
        <v>7379</v>
      </c>
      <c r="N835" s="267" t="s">
        <v>66</v>
      </c>
      <c r="O835" s="267"/>
      <c r="P835" s="267"/>
      <c r="Q835" s="274">
        <v>54347.8260869565</v>
      </c>
      <c r="R835" s="267">
        <v>1750000</v>
      </c>
      <c r="S835" s="292">
        <v>875000</v>
      </c>
      <c r="T835" s="292">
        <f t="shared" si="269"/>
        <v>875000</v>
      </c>
      <c r="U835" s="267"/>
      <c r="V835" s="267"/>
      <c r="W835" s="267"/>
      <c r="X835" s="267"/>
      <c r="Y835" s="267"/>
      <c r="Z835" s="267"/>
      <c r="AA835" s="267"/>
      <c r="AB835" s="274" t="s">
        <v>5840</v>
      </c>
      <c r="AC835" s="246"/>
      <c r="AD835" s="83"/>
      <c r="AE835" s="83"/>
      <c r="AF835" s="83"/>
      <c r="AG835" s="83"/>
      <c r="AH835" s="83"/>
      <c r="AI835" s="132">
        <f t="shared" si="270"/>
        <v>875000</v>
      </c>
      <c r="AJ835" s="132">
        <f t="shared" si="271"/>
        <v>875000</v>
      </c>
      <c r="AK835" s="133">
        <f t="shared" si="272"/>
        <v>0</v>
      </c>
      <c r="AL835" s="115"/>
      <c r="AM835" s="115" t="s">
        <v>974</v>
      </c>
      <c r="AN835" s="246">
        <v>44868</v>
      </c>
      <c r="AO835" s="137"/>
      <c r="AP835" s="97"/>
      <c r="AQ835" s="97"/>
      <c r="AR835" s="97"/>
      <c r="AS835" s="97"/>
      <c r="AT835" s="97"/>
      <c r="AU835" s="97"/>
      <c r="AV835" s="97"/>
      <c r="AW835" s="97"/>
      <c r="AX835" s="97"/>
      <c r="AY835" s="97"/>
      <c r="AZ835" s="97"/>
      <c r="BA835" s="97"/>
      <c r="BB835" s="97"/>
      <c r="BC835" s="97"/>
      <c r="BD835" s="97"/>
      <c r="BE835" s="97"/>
    </row>
    <row r="836" s="96" customFormat="1" customHeight="1" spans="1:57">
      <c r="A836" s="106" t="s">
        <v>7380</v>
      </c>
      <c r="B836" s="111" t="s">
        <v>7381</v>
      </c>
      <c r="C836" s="111" t="s">
        <v>7382</v>
      </c>
      <c r="D836" s="121" t="s">
        <v>7383</v>
      </c>
      <c r="E836" s="113">
        <v>18837132819</v>
      </c>
      <c r="F836" s="267">
        <v>3</v>
      </c>
      <c r="G836" s="268">
        <v>3307</v>
      </c>
      <c r="H836" s="274">
        <v>20.19</v>
      </c>
      <c r="I836" s="274" t="s">
        <v>2657</v>
      </c>
      <c r="J836" s="113" t="s">
        <v>7384</v>
      </c>
      <c r="K836" s="116">
        <v>16.62</v>
      </c>
      <c r="L836" s="266" t="s">
        <v>2897</v>
      </c>
      <c r="M836" s="266" t="s">
        <v>2746</v>
      </c>
      <c r="N836" s="113" t="s">
        <v>66</v>
      </c>
      <c r="O836" s="113"/>
      <c r="P836" s="113"/>
      <c r="Q836" s="113">
        <v>32120.4</v>
      </c>
      <c r="R836" s="113">
        <v>533841</v>
      </c>
      <c r="S836" s="121">
        <v>273841</v>
      </c>
      <c r="T836" s="292">
        <f t="shared" si="269"/>
        <v>260000</v>
      </c>
      <c r="U836" s="113"/>
      <c r="V836" s="113"/>
      <c r="W836" s="113"/>
      <c r="X836" s="113"/>
      <c r="Y836" s="113"/>
      <c r="Z836" s="113"/>
      <c r="AA836" s="113"/>
      <c r="AB836" s="113"/>
      <c r="AC836" s="246"/>
      <c r="AD836" s="83"/>
      <c r="AE836" s="83"/>
      <c r="AF836" s="83"/>
      <c r="AG836" s="83"/>
      <c r="AH836" s="83"/>
      <c r="AI836" s="132">
        <f t="shared" si="270"/>
        <v>273841</v>
      </c>
      <c r="AJ836" s="132">
        <f t="shared" si="271"/>
        <v>273841</v>
      </c>
      <c r="AK836" s="133">
        <f t="shared" si="272"/>
        <v>0</v>
      </c>
      <c r="AL836" s="115"/>
      <c r="AM836" s="115" t="s">
        <v>974</v>
      </c>
      <c r="AN836" s="246">
        <v>44868</v>
      </c>
      <c r="AO836" s="137"/>
      <c r="AP836" s="254"/>
      <c r="AQ836" s="254"/>
      <c r="AR836" s="254"/>
      <c r="AS836" s="254"/>
      <c r="AT836" s="254"/>
      <c r="AU836" s="254"/>
      <c r="AV836" s="254"/>
      <c r="AW836" s="254"/>
      <c r="AX836" s="254"/>
      <c r="AY836" s="254"/>
      <c r="AZ836" s="254"/>
      <c r="BA836" s="254"/>
      <c r="BB836" s="254"/>
      <c r="BC836" s="254"/>
      <c r="BD836" s="254"/>
      <c r="BE836" s="254"/>
    </row>
    <row r="837" s="96" customFormat="1" customHeight="1" spans="1:57">
      <c r="A837" s="106" t="s">
        <v>7385</v>
      </c>
      <c r="B837" s="111" t="s">
        <v>7386</v>
      </c>
      <c r="C837" s="111" t="s">
        <v>7387</v>
      </c>
      <c r="D837" s="121" t="s">
        <v>7388</v>
      </c>
      <c r="E837" s="113">
        <v>18638108374</v>
      </c>
      <c r="F837" s="267">
        <v>3</v>
      </c>
      <c r="G837" s="268">
        <v>3412</v>
      </c>
      <c r="H837" s="274">
        <v>22.25</v>
      </c>
      <c r="I837" s="274" t="s">
        <v>2657</v>
      </c>
      <c r="J837" s="113" t="s">
        <v>7389</v>
      </c>
      <c r="K837" s="113">
        <v>18.18</v>
      </c>
      <c r="L837" s="266" t="s">
        <v>3035</v>
      </c>
      <c r="M837" s="266" t="s">
        <v>2968</v>
      </c>
      <c r="N837" s="113" t="s">
        <v>66</v>
      </c>
      <c r="O837" s="113"/>
      <c r="P837" s="113"/>
      <c r="Q837" s="113">
        <v>31761.5</v>
      </c>
      <c r="R837" s="113">
        <v>577424</v>
      </c>
      <c r="S837" s="121">
        <v>297424</v>
      </c>
      <c r="T837" s="292">
        <f t="shared" si="269"/>
        <v>280000</v>
      </c>
      <c r="U837" s="113"/>
      <c r="V837" s="113"/>
      <c r="W837" s="113"/>
      <c r="X837" s="113"/>
      <c r="Y837" s="113"/>
      <c r="Z837" s="113"/>
      <c r="AA837" s="113"/>
      <c r="AB837" s="113"/>
      <c r="AC837" s="246"/>
      <c r="AD837" s="83"/>
      <c r="AE837" s="83"/>
      <c r="AF837" s="83"/>
      <c r="AG837" s="83"/>
      <c r="AH837" s="83"/>
      <c r="AI837" s="132">
        <f t="shared" si="270"/>
        <v>297424</v>
      </c>
      <c r="AJ837" s="132">
        <f t="shared" si="271"/>
        <v>297424</v>
      </c>
      <c r="AK837" s="133">
        <f t="shared" si="272"/>
        <v>0</v>
      </c>
      <c r="AL837" s="115"/>
      <c r="AM837" s="115" t="s">
        <v>974</v>
      </c>
      <c r="AN837" s="246">
        <v>44868</v>
      </c>
      <c r="AO837" s="137"/>
      <c r="AP837" s="254"/>
      <c r="AQ837" s="254"/>
      <c r="AR837" s="254"/>
      <c r="AS837" s="254"/>
      <c r="AT837" s="254"/>
      <c r="AU837" s="254"/>
      <c r="AV837" s="254"/>
      <c r="AW837" s="254"/>
      <c r="AX837" s="254"/>
      <c r="AY837" s="254"/>
      <c r="AZ837" s="254"/>
      <c r="BA837" s="254"/>
      <c r="BB837" s="254"/>
      <c r="BC837" s="254"/>
      <c r="BD837" s="254"/>
      <c r="BE837" s="254"/>
    </row>
    <row r="838" s="96" customFormat="1" customHeight="1" spans="1:57">
      <c r="A838" s="106" t="s">
        <v>7390</v>
      </c>
      <c r="B838" s="111" t="s">
        <v>7391</v>
      </c>
      <c r="C838" s="554" t="s">
        <v>7392</v>
      </c>
      <c r="D838" s="113" t="s">
        <v>7393</v>
      </c>
      <c r="E838" s="113">
        <v>13839998917</v>
      </c>
      <c r="F838" s="267">
        <v>4</v>
      </c>
      <c r="G838" s="268">
        <v>4486</v>
      </c>
      <c r="H838" s="274">
        <v>16.53</v>
      </c>
      <c r="I838" s="274" t="s">
        <v>2657</v>
      </c>
      <c r="J838" s="267" t="s">
        <v>7394</v>
      </c>
      <c r="K838" s="267">
        <v>15.4</v>
      </c>
      <c r="L838" s="266" t="s">
        <v>2718</v>
      </c>
      <c r="M838" s="266" t="s">
        <v>7395</v>
      </c>
      <c r="N838" s="113" t="s">
        <v>56</v>
      </c>
      <c r="O838" s="113"/>
      <c r="P838" s="113"/>
      <c r="Q838" s="113">
        <v>26076.23</v>
      </c>
      <c r="R838" s="113">
        <v>431040</v>
      </c>
      <c r="S838" s="121">
        <v>431040</v>
      </c>
      <c r="T838" s="292">
        <f t="shared" si="269"/>
        <v>0</v>
      </c>
      <c r="U838" s="113"/>
      <c r="V838" s="113">
        <v>1074</v>
      </c>
      <c r="W838" s="113">
        <v>550</v>
      </c>
      <c r="X838" s="113"/>
      <c r="Y838" s="113"/>
      <c r="Z838" s="113"/>
      <c r="AA838" s="113"/>
      <c r="AB838" s="113"/>
      <c r="AC838" s="246"/>
      <c r="AD838" s="83"/>
      <c r="AE838" s="83"/>
      <c r="AF838" s="83"/>
      <c r="AG838" s="83"/>
      <c r="AH838" s="83"/>
      <c r="AI838" s="132">
        <f t="shared" si="270"/>
        <v>432664</v>
      </c>
      <c r="AJ838" s="132">
        <f t="shared" si="271"/>
        <v>432664</v>
      </c>
      <c r="AK838" s="133">
        <f t="shared" si="272"/>
        <v>0</v>
      </c>
      <c r="AL838" s="115"/>
      <c r="AM838" s="115" t="s">
        <v>974</v>
      </c>
      <c r="AN838" s="246">
        <v>44868</v>
      </c>
      <c r="AO838" s="137"/>
      <c r="AP838" s="97"/>
      <c r="AQ838" s="97"/>
      <c r="AR838" s="97"/>
      <c r="AS838" s="97"/>
      <c r="AT838" s="97"/>
      <c r="AU838" s="97"/>
      <c r="AV838" s="97"/>
      <c r="AW838" s="97"/>
      <c r="AX838" s="97"/>
      <c r="AY838" s="97"/>
      <c r="AZ838" s="97"/>
      <c r="BA838" s="97"/>
      <c r="BB838" s="97"/>
      <c r="BC838" s="97"/>
      <c r="BD838" s="97"/>
      <c r="BE838" s="97"/>
    </row>
    <row r="839" s="96" customFormat="1" customHeight="1" spans="1:57">
      <c r="A839" s="106" t="s">
        <v>7396</v>
      </c>
      <c r="B839" s="111" t="s">
        <v>7397</v>
      </c>
      <c r="C839" s="554" t="s">
        <v>7398</v>
      </c>
      <c r="D839" s="113" t="s">
        <v>7399</v>
      </c>
      <c r="E839" s="113">
        <v>15037338368</v>
      </c>
      <c r="F839" s="267">
        <v>1</v>
      </c>
      <c r="G839" s="268">
        <v>1694</v>
      </c>
      <c r="H839" s="274">
        <v>14.73</v>
      </c>
      <c r="I839" s="274" t="s">
        <v>2657</v>
      </c>
      <c r="J839" s="113" t="s">
        <v>7400</v>
      </c>
      <c r="K839" s="113">
        <v>14.66</v>
      </c>
      <c r="L839" s="266" t="s">
        <v>4334</v>
      </c>
      <c r="M839" s="266" t="s">
        <v>4334</v>
      </c>
      <c r="N839" s="113" t="s">
        <v>66</v>
      </c>
      <c r="O839" s="113"/>
      <c r="P839" s="113"/>
      <c r="Q839" s="113">
        <v>47066.85</v>
      </c>
      <c r="R839" s="113">
        <v>690000</v>
      </c>
      <c r="S839" s="121">
        <v>350000</v>
      </c>
      <c r="T839" s="292">
        <f t="shared" si="269"/>
        <v>340000</v>
      </c>
      <c r="U839" s="113"/>
      <c r="V839" s="113"/>
      <c r="W839" s="113"/>
      <c r="X839" s="113"/>
      <c r="Y839" s="113"/>
      <c r="Z839" s="113"/>
      <c r="AA839" s="113"/>
      <c r="AB839" s="113"/>
      <c r="AC839" s="246"/>
      <c r="AD839" s="83"/>
      <c r="AE839" s="83"/>
      <c r="AF839" s="83"/>
      <c r="AG839" s="83"/>
      <c r="AH839" s="83"/>
      <c r="AI839" s="132">
        <f t="shared" si="270"/>
        <v>350000</v>
      </c>
      <c r="AJ839" s="132">
        <f t="shared" si="271"/>
        <v>350000</v>
      </c>
      <c r="AK839" s="133">
        <f t="shared" si="272"/>
        <v>0</v>
      </c>
      <c r="AL839" s="115"/>
      <c r="AM839" s="115" t="s">
        <v>974</v>
      </c>
      <c r="AN839" s="246">
        <v>44868</v>
      </c>
      <c r="AO839" s="137"/>
      <c r="AP839" s="254"/>
      <c r="AQ839" s="254"/>
      <c r="AR839" s="254"/>
      <c r="AS839" s="254"/>
      <c r="AT839" s="254"/>
      <c r="AU839" s="254"/>
      <c r="AV839" s="254"/>
      <c r="AW839" s="254"/>
      <c r="AX839" s="254"/>
      <c r="AY839" s="254"/>
      <c r="AZ839" s="254"/>
      <c r="BA839" s="254"/>
      <c r="BB839" s="254"/>
      <c r="BC839" s="254"/>
      <c r="BD839" s="254"/>
      <c r="BE839" s="254"/>
    </row>
    <row r="840" s="96" customFormat="1" customHeight="1" spans="1:57">
      <c r="A840" s="106" t="s">
        <v>7401</v>
      </c>
      <c r="B840" s="111" t="s">
        <v>7402</v>
      </c>
      <c r="C840" s="111" t="s">
        <v>7403</v>
      </c>
      <c r="D840" s="121" t="s">
        <v>7404</v>
      </c>
      <c r="E840" s="113">
        <v>13526550425</v>
      </c>
      <c r="F840" s="267">
        <v>3</v>
      </c>
      <c r="G840" s="268">
        <v>3135</v>
      </c>
      <c r="H840" s="274">
        <v>19.06</v>
      </c>
      <c r="I840" s="274" t="s">
        <v>2657</v>
      </c>
      <c r="J840" s="113" t="s">
        <v>7405</v>
      </c>
      <c r="K840" s="116">
        <v>17.91</v>
      </c>
      <c r="L840" s="266" t="s">
        <v>4670</v>
      </c>
      <c r="M840" s="266" t="s">
        <v>3049</v>
      </c>
      <c r="N840" s="113" t="s">
        <v>66</v>
      </c>
      <c r="O840" s="113"/>
      <c r="P840" s="113"/>
      <c r="Q840" s="113">
        <v>32136.46</v>
      </c>
      <c r="R840" s="113">
        <v>575564</v>
      </c>
      <c r="S840" s="121">
        <v>295564</v>
      </c>
      <c r="T840" s="292">
        <f t="shared" si="269"/>
        <v>280000</v>
      </c>
      <c r="U840" s="113"/>
      <c r="V840" s="113"/>
      <c r="W840" s="113"/>
      <c r="X840" s="113"/>
      <c r="Y840" s="113" t="s">
        <v>2669</v>
      </c>
      <c r="Z840" s="113"/>
      <c r="AA840" s="113"/>
      <c r="AB840" s="113" t="s">
        <v>7406</v>
      </c>
      <c r="AC840" s="246"/>
      <c r="AD840" s="83"/>
      <c r="AE840" s="83"/>
      <c r="AF840" s="83"/>
      <c r="AG840" s="83"/>
      <c r="AH840" s="83"/>
      <c r="AI840" s="132">
        <f t="shared" si="270"/>
        <v>295564</v>
      </c>
      <c r="AJ840" s="132">
        <f t="shared" si="271"/>
        <v>295564</v>
      </c>
      <c r="AK840" s="133">
        <f t="shared" si="272"/>
        <v>0</v>
      </c>
      <c r="AL840" s="115"/>
      <c r="AM840" s="115" t="s">
        <v>974</v>
      </c>
      <c r="AN840" s="246">
        <v>44868</v>
      </c>
      <c r="AO840" s="137"/>
      <c r="AP840" s="97"/>
      <c r="AQ840" s="97"/>
      <c r="AR840" s="97"/>
      <c r="AS840" s="97"/>
      <c r="AT840" s="97"/>
      <c r="AU840" s="97"/>
      <c r="AV840" s="97"/>
      <c r="AW840" s="97"/>
      <c r="AX840" s="97"/>
      <c r="AY840" s="97"/>
      <c r="AZ840" s="97"/>
      <c r="BA840" s="97"/>
      <c r="BB840" s="97"/>
      <c r="BC840" s="97"/>
      <c r="BD840" s="97"/>
      <c r="BE840" s="97"/>
    </row>
    <row r="841" s="96" customFormat="1" customHeight="1" spans="1:57">
      <c r="A841" s="106" t="s">
        <v>7407</v>
      </c>
      <c r="B841" s="296" t="s">
        <v>7408</v>
      </c>
      <c r="C841" s="556" t="s">
        <v>7409</v>
      </c>
      <c r="D841" s="267" t="s">
        <v>7410</v>
      </c>
      <c r="E841" s="267">
        <v>18839966869</v>
      </c>
      <c r="F841" s="267">
        <v>2</v>
      </c>
      <c r="G841" s="268">
        <v>2174</v>
      </c>
      <c r="H841" s="274">
        <v>26.52</v>
      </c>
      <c r="I841" s="274" t="s">
        <v>2665</v>
      </c>
      <c r="J841" s="267" t="s">
        <v>7411</v>
      </c>
      <c r="K841" s="326">
        <v>26.6</v>
      </c>
      <c r="L841" s="268" t="s">
        <v>2711</v>
      </c>
      <c r="M841" s="268" t="s">
        <v>2883</v>
      </c>
      <c r="N841" s="267" t="s">
        <v>56</v>
      </c>
      <c r="O841" s="267"/>
      <c r="P841" s="267"/>
      <c r="Q841" s="274">
        <v>28426.8</v>
      </c>
      <c r="R841" s="267">
        <v>753879</v>
      </c>
      <c r="S841" s="292">
        <v>753879</v>
      </c>
      <c r="T841" s="292">
        <f t="shared" si="269"/>
        <v>0</v>
      </c>
      <c r="U841" s="267"/>
      <c r="V841" s="267">
        <v>1847</v>
      </c>
      <c r="W841" s="267">
        <v>550</v>
      </c>
      <c r="X841" s="267"/>
      <c r="Y841" s="267" t="s">
        <v>2669</v>
      </c>
      <c r="Z841" s="267" t="s">
        <v>48</v>
      </c>
      <c r="AA841" s="304">
        <v>44090</v>
      </c>
      <c r="AB841" s="267"/>
      <c r="AC841" s="246"/>
      <c r="AD841" s="83"/>
      <c r="AE841" s="83"/>
      <c r="AF841" s="83"/>
      <c r="AG841" s="83"/>
      <c r="AH841" s="83"/>
      <c r="AI841" s="132">
        <f t="shared" si="270"/>
        <v>756276</v>
      </c>
      <c r="AJ841" s="132">
        <f t="shared" si="271"/>
        <v>756276</v>
      </c>
      <c r="AK841" s="133">
        <f t="shared" si="272"/>
        <v>0</v>
      </c>
      <c r="AL841" s="115" t="s">
        <v>7412</v>
      </c>
      <c r="AM841" s="115" t="s">
        <v>974</v>
      </c>
      <c r="AN841" s="246">
        <v>44869</v>
      </c>
      <c r="AO841" s="137" t="s">
        <v>4637</v>
      </c>
      <c r="AP841" s="97"/>
      <c r="AQ841" s="97"/>
      <c r="AR841" s="97"/>
      <c r="AS841" s="97"/>
      <c r="AT841" s="97"/>
      <c r="AU841" s="97"/>
      <c r="AV841" s="97"/>
      <c r="AW841" s="97"/>
      <c r="AX841" s="97"/>
      <c r="AY841" s="97"/>
      <c r="AZ841" s="97"/>
      <c r="BA841" s="97"/>
      <c r="BB841" s="97"/>
      <c r="BC841" s="97"/>
      <c r="BD841" s="97"/>
      <c r="BE841" s="97"/>
    </row>
    <row r="842" s="96" customFormat="1" customHeight="1" spans="1:57">
      <c r="A842" s="106" t="s">
        <v>7413</v>
      </c>
      <c r="B842" s="111" t="s">
        <v>7414</v>
      </c>
      <c r="C842" s="111" t="s">
        <v>7415</v>
      </c>
      <c r="D842" s="113" t="s">
        <v>7416</v>
      </c>
      <c r="E842" s="113">
        <v>17719998737</v>
      </c>
      <c r="F842" s="267">
        <v>1</v>
      </c>
      <c r="G842" s="268">
        <v>1737</v>
      </c>
      <c r="H842" s="274">
        <v>18.85</v>
      </c>
      <c r="I842" s="274" t="s">
        <v>2657</v>
      </c>
      <c r="J842" s="113" t="s">
        <v>7417</v>
      </c>
      <c r="K842" s="113">
        <v>19.55</v>
      </c>
      <c r="L842" s="266" t="s">
        <v>7418</v>
      </c>
      <c r="M842" s="266" t="s">
        <v>7419</v>
      </c>
      <c r="N842" s="113" t="s">
        <v>66</v>
      </c>
      <c r="O842" s="113"/>
      <c r="P842" s="113"/>
      <c r="Q842" s="113">
        <v>47934.42</v>
      </c>
      <c r="R842" s="113">
        <v>937118</v>
      </c>
      <c r="S842" s="121">
        <v>477118</v>
      </c>
      <c r="T842" s="292">
        <f t="shared" si="269"/>
        <v>460000</v>
      </c>
      <c r="U842" s="113"/>
      <c r="V842" s="113"/>
      <c r="W842" s="113"/>
      <c r="X842" s="113"/>
      <c r="Y842" s="113"/>
      <c r="Z842" s="113"/>
      <c r="AA842" s="113"/>
      <c r="AB842" s="113"/>
      <c r="AC842" s="246"/>
      <c r="AD842" s="83"/>
      <c r="AE842" s="83"/>
      <c r="AF842" s="83"/>
      <c r="AG842" s="83"/>
      <c r="AH842" s="83"/>
      <c r="AI842" s="132">
        <f t="shared" si="270"/>
        <v>477118</v>
      </c>
      <c r="AJ842" s="132">
        <f t="shared" si="271"/>
        <v>477118</v>
      </c>
      <c r="AK842" s="133">
        <f t="shared" si="272"/>
        <v>0</v>
      </c>
      <c r="AL842" s="115"/>
      <c r="AM842" s="115" t="s">
        <v>974</v>
      </c>
      <c r="AN842" s="246">
        <v>44869</v>
      </c>
      <c r="AO842" s="137"/>
      <c r="AP842" s="97"/>
      <c r="AQ842" s="97"/>
      <c r="AR842" s="97"/>
      <c r="AS842" s="97"/>
      <c r="AT842" s="97"/>
      <c r="AU842" s="97"/>
      <c r="AV842" s="97"/>
      <c r="AW842" s="97"/>
      <c r="AX842" s="97"/>
      <c r="AY842" s="97"/>
      <c r="AZ842" s="97"/>
      <c r="BA842" s="97"/>
      <c r="BB842" s="97"/>
      <c r="BC842" s="97"/>
      <c r="BD842" s="97"/>
      <c r="BE842" s="97"/>
    </row>
    <row r="843" s="96" customFormat="1" customHeight="1" spans="1:57">
      <c r="A843" s="106" t="s">
        <v>7420</v>
      </c>
      <c r="B843" s="296" t="s">
        <v>7421</v>
      </c>
      <c r="C843" s="556" t="s">
        <v>7422</v>
      </c>
      <c r="D843" s="267" t="s">
        <v>7423</v>
      </c>
      <c r="E843" s="267">
        <v>18538510027</v>
      </c>
      <c r="F843" s="267">
        <v>4</v>
      </c>
      <c r="G843" s="268">
        <v>4138</v>
      </c>
      <c r="H843" s="274">
        <v>16.51</v>
      </c>
      <c r="I843" s="274" t="s">
        <v>2665</v>
      </c>
      <c r="J843" s="267" t="s">
        <v>7424</v>
      </c>
      <c r="K843" s="326">
        <v>32.05</v>
      </c>
      <c r="L843" s="268" t="s">
        <v>2711</v>
      </c>
      <c r="M843" s="268" t="s">
        <v>5367</v>
      </c>
      <c r="N843" s="267" t="s">
        <v>66</v>
      </c>
      <c r="O843" s="267"/>
      <c r="P843" s="267"/>
      <c r="Q843" s="274">
        <v>20379.53</v>
      </c>
      <c r="R843" s="267">
        <v>653164</v>
      </c>
      <c r="S843" s="292">
        <v>333164</v>
      </c>
      <c r="T843" s="292">
        <f t="shared" si="269"/>
        <v>320000</v>
      </c>
      <c r="U843" s="267"/>
      <c r="V843" s="267"/>
      <c r="W843" s="267"/>
      <c r="X843" s="267"/>
      <c r="Y843" s="267"/>
      <c r="Z843" s="267"/>
      <c r="AA843" s="267"/>
      <c r="AB843" s="267"/>
      <c r="AC843" s="246"/>
      <c r="AD843" s="83"/>
      <c r="AE843" s="83"/>
      <c r="AF843" s="83"/>
      <c r="AG843" s="83"/>
      <c r="AH843" s="83"/>
      <c r="AI843" s="132">
        <f t="shared" si="270"/>
        <v>333164</v>
      </c>
      <c r="AJ843" s="132">
        <f t="shared" si="271"/>
        <v>333164</v>
      </c>
      <c r="AK843" s="133">
        <f t="shared" si="272"/>
        <v>0</v>
      </c>
      <c r="AL843" s="115"/>
      <c r="AM843" s="115" t="s">
        <v>974</v>
      </c>
      <c r="AN843" s="246">
        <v>44869</v>
      </c>
      <c r="AO843" s="137"/>
      <c r="AP843" s="254"/>
      <c r="AQ843" s="254"/>
      <c r="AR843" s="254"/>
      <c r="AS843" s="254"/>
      <c r="AT843" s="254"/>
      <c r="AU843" s="254"/>
      <c r="AV843" s="254"/>
      <c r="AW843" s="254"/>
      <c r="AX843" s="254"/>
      <c r="AY843" s="254"/>
      <c r="AZ843" s="254"/>
      <c r="BA843" s="254"/>
      <c r="BB843" s="254"/>
      <c r="BC843" s="254"/>
      <c r="BD843" s="254"/>
      <c r="BE843" s="254"/>
    </row>
    <row r="844" s="96" customFormat="1" customHeight="1" spans="1:57">
      <c r="A844" s="106" t="s">
        <v>7425</v>
      </c>
      <c r="B844" s="111" t="s">
        <v>7426</v>
      </c>
      <c r="C844" s="111" t="s">
        <v>7427</v>
      </c>
      <c r="D844" s="121" t="s">
        <v>7428</v>
      </c>
      <c r="E844" s="113">
        <v>13523072474</v>
      </c>
      <c r="F844" s="267">
        <v>3</v>
      </c>
      <c r="G844" s="268">
        <v>3122</v>
      </c>
      <c r="H844" s="274">
        <v>16.59</v>
      </c>
      <c r="I844" s="274" t="s">
        <v>2657</v>
      </c>
      <c r="J844" s="113" t="s">
        <v>7429</v>
      </c>
      <c r="K844" s="116">
        <v>16.75</v>
      </c>
      <c r="L844" s="266" t="s">
        <v>3042</v>
      </c>
      <c r="M844" s="266" t="s">
        <v>2763</v>
      </c>
      <c r="N844" s="113" t="s">
        <v>66</v>
      </c>
      <c r="O844" s="113"/>
      <c r="P844" s="113"/>
      <c r="Q844" s="113">
        <v>32425.73</v>
      </c>
      <c r="R844" s="113">
        <v>537943</v>
      </c>
      <c r="S844" s="121">
        <v>277943</v>
      </c>
      <c r="T844" s="121" t="s">
        <v>47</v>
      </c>
      <c r="U844" s="121">
        <v>260000</v>
      </c>
      <c r="V844" s="113">
        <v>1078</v>
      </c>
      <c r="W844" s="113">
        <v>550</v>
      </c>
      <c r="X844" s="113"/>
      <c r="Y844" s="113" t="s">
        <v>2669</v>
      </c>
      <c r="Z844" s="113" t="s">
        <v>48</v>
      </c>
      <c r="AA844" s="304">
        <v>44058</v>
      </c>
      <c r="AB844" s="113"/>
      <c r="AC844" s="246"/>
      <c r="AD844" s="83"/>
      <c r="AE844" s="83"/>
      <c r="AF844" s="83"/>
      <c r="AG844" s="83"/>
      <c r="AH844" s="83"/>
      <c r="AI844" s="132">
        <f t="shared" si="270"/>
        <v>539571</v>
      </c>
      <c r="AJ844" s="132">
        <f t="shared" si="271"/>
        <v>539571</v>
      </c>
      <c r="AK844" s="133">
        <f t="shared" si="272"/>
        <v>0</v>
      </c>
      <c r="AL844" s="115"/>
      <c r="AM844" s="115" t="s">
        <v>974</v>
      </c>
      <c r="AN844" s="246">
        <v>44869</v>
      </c>
      <c r="AO844" s="137"/>
      <c r="AP844" s="97"/>
      <c r="AQ844" s="97"/>
      <c r="AR844" s="97"/>
      <c r="AS844" s="97"/>
      <c r="AT844" s="97"/>
      <c r="AU844" s="97"/>
      <c r="AV844" s="97"/>
      <c r="AW844" s="97"/>
      <c r="AX844" s="97"/>
      <c r="AY844" s="97"/>
      <c r="AZ844" s="97"/>
      <c r="BA844" s="97"/>
      <c r="BB844" s="97"/>
      <c r="BC844" s="97"/>
      <c r="BD844" s="97"/>
      <c r="BE844" s="97"/>
    </row>
    <row r="845" s="96" customFormat="1" customHeight="1" spans="1:57">
      <c r="A845" s="106" t="s">
        <v>7430</v>
      </c>
      <c r="B845" s="111" t="s">
        <v>7431</v>
      </c>
      <c r="C845" s="111" t="s">
        <v>7432</v>
      </c>
      <c r="D845" s="121" t="s">
        <v>7433</v>
      </c>
      <c r="E845" s="113">
        <v>13333822757</v>
      </c>
      <c r="F845" s="267">
        <v>3</v>
      </c>
      <c r="G845" s="268">
        <v>3185</v>
      </c>
      <c r="H845" s="274">
        <v>20.32</v>
      </c>
      <c r="I845" s="274" t="s">
        <v>2657</v>
      </c>
      <c r="J845" s="113" t="s">
        <v>7434</v>
      </c>
      <c r="K845" s="116">
        <v>15.54</v>
      </c>
      <c r="L845" s="266" t="s">
        <v>3326</v>
      </c>
      <c r="M845" s="266" t="s">
        <v>3326</v>
      </c>
      <c r="N845" s="113" t="s">
        <v>66</v>
      </c>
      <c r="O845" s="113"/>
      <c r="P845" s="113"/>
      <c r="Q845" s="113">
        <v>31776.58</v>
      </c>
      <c r="R845" s="113">
        <v>493808</v>
      </c>
      <c r="S845" s="121">
        <v>253808</v>
      </c>
      <c r="T845" s="292">
        <f t="shared" ref="T845:T868" si="273">R845-S845</f>
        <v>240000</v>
      </c>
      <c r="U845" s="113"/>
      <c r="V845" s="113"/>
      <c r="W845" s="113"/>
      <c r="X845" s="113"/>
      <c r="Y845" s="113"/>
      <c r="Z845" s="113"/>
      <c r="AA845" s="113"/>
      <c r="AB845" s="113"/>
      <c r="AC845" s="246"/>
      <c r="AD845" s="115"/>
      <c r="AE845" s="115"/>
      <c r="AF845" s="115"/>
      <c r="AG845" s="115"/>
      <c r="AH845" s="115"/>
      <c r="AI845" s="132">
        <f t="shared" si="270"/>
        <v>253808</v>
      </c>
      <c r="AJ845" s="132">
        <f t="shared" si="271"/>
        <v>253808</v>
      </c>
      <c r="AK845" s="133">
        <f t="shared" si="272"/>
        <v>0</v>
      </c>
      <c r="AL845" s="115"/>
      <c r="AM845" s="115" t="s">
        <v>974</v>
      </c>
      <c r="AN845" s="246">
        <v>44869</v>
      </c>
      <c r="AO845" s="137"/>
      <c r="AP845" s="254"/>
      <c r="AQ845" s="254"/>
      <c r="AR845" s="254"/>
      <c r="AS845" s="254"/>
      <c r="AT845" s="254"/>
      <c r="AU845" s="254"/>
      <c r="AV845" s="254"/>
      <c r="AW845" s="254"/>
      <c r="AX845" s="254"/>
      <c r="AY845" s="254"/>
      <c r="AZ845" s="254"/>
      <c r="BA845" s="254"/>
      <c r="BB845" s="254"/>
      <c r="BC845" s="254"/>
      <c r="BD845" s="254"/>
      <c r="BE845" s="254"/>
    </row>
    <row r="846" s="96" customFormat="1" customHeight="1" spans="1:41">
      <c r="A846" s="106" t="s">
        <v>7435</v>
      </c>
      <c r="B846" s="111" t="s">
        <v>7436</v>
      </c>
      <c r="C846" s="111" t="s">
        <v>7437</v>
      </c>
      <c r="D846" s="121" t="s">
        <v>7438</v>
      </c>
      <c r="E846" s="113">
        <v>15517187577</v>
      </c>
      <c r="F846" s="267">
        <v>3</v>
      </c>
      <c r="G846" s="268">
        <v>3290</v>
      </c>
      <c r="H846" s="274">
        <v>16.1</v>
      </c>
      <c r="I846" s="274" t="s">
        <v>2657</v>
      </c>
      <c r="J846" s="113" t="s">
        <v>7439</v>
      </c>
      <c r="K846" s="116">
        <v>15.06</v>
      </c>
      <c r="L846" s="266" t="s">
        <v>3911</v>
      </c>
      <c r="M846" s="266" t="s">
        <v>3074</v>
      </c>
      <c r="N846" s="113" t="s">
        <v>66</v>
      </c>
      <c r="O846" s="113"/>
      <c r="P846" s="113"/>
      <c r="Q846" s="113">
        <v>31208.5</v>
      </c>
      <c r="R846" s="113">
        <v>470000</v>
      </c>
      <c r="S846" s="121">
        <v>240000</v>
      </c>
      <c r="T846" s="292">
        <f t="shared" si="273"/>
        <v>230000</v>
      </c>
      <c r="U846" s="113"/>
      <c r="V846" s="113"/>
      <c r="W846" s="113"/>
      <c r="X846" s="113"/>
      <c r="Y846" s="113"/>
      <c r="Z846" s="113"/>
      <c r="AA846" s="113"/>
      <c r="AB846" s="113"/>
      <c r="AC846" s="246"/>
      <c r="AD846" s="115"/>
      <c r="AE846" s="115"/>
      <c r="AF846" s="115"/>
      <c r="AG846" s="115"/>
      <c r="AH846" s="115"/>
      <c r="AI846" s="132">
        <f t="shared" ref="AI846:AI857" si="274">S846+U846+V846+W846+X846+AC846+AD846+AE846</f>
        <v>240000</v>
      </c>
      <c r="AJ846" s="132">
        <f t="shared" ref="AJ846:AJ857" si="275">S846+U846+V846+W846+X846</f>
        <v>240000</v>
      </c>
      <c r="AK846" s="133">
        <f t="shared" ref="AK846:AK857" si="276">AI846-AJ846</f>
        <v>0</v>
      </c>
      <c r="AL846" s="115"/>
      <c r="AM846" s="115" t="s">
        <v>974</v>
      </c>
      <c r="AN846" s="246">
        <v>44869</v>
      </c>
      <c r="AO846" s="100"/>
    </row>
    <row r="847" s="96" customFormat="1" customHeight="1" spans="1:41">
      <c r="A847" s="106" t="s">
        <v>7440</v>
      </c>
      <c r="B847" s="111" t="s">
        <v>7441</v>
      </c>
      <c r="C847" s="111" t="s">
        <v>7442</v>
      </c>
      <c r="D847" s="121" t="s">
        <v>7443</v>
      </c>
      <c r="E847" s="113">
        <v>13525502289</v>
      </c>
      <c r="F847" s="267">
        <v>3</v>
      </c>
      <c r="G847" s="268">
        <v>3604</v>
      </c>
      <c r="H847" s="274">
        <v>16.36</v>
      </c>
      <c r="I847" s="274" t="s">
        <v>2657</v>
      </c>
      <c r="J847" s="113" t="s">
        <v>7444</v>
      </c>
      <c r="K847" s="113">
        <v>13.87</v>
      </c>
      <c r="L847" s="266" t="s">
        <v>2961</v>
      </c>
      <c r="M847" s="266" t="s">
        <v>3073</v>
      </c>
      <c r="N847" s="113" t="s">
        <v>66</v>
      </c>
      <c r="O847" s="113"/>
      <c r="P847" s="113"/>
      <c r="Q847" s="113">
        <v>32085.08</v>
      </c>
      <c r="R847" s="113">
        <v>445020</v>
      </c>
      <c r="S847" s="121">
        <v>225020</v>
      </c>
      <c r="T847" s="292">
        <f t="shared" si="273"/>
        <v>220000</v>
      </c>
      <c r="U847" s="113"/>
      <c r="V847" s="113"/>
      <c r="W847" s="113"/>
      <c r="X847" s="113"/>
      <c r="Y847" s="113"/>
      <c r="Z847" s="113"/>
      <c r="AA847" s="113"/>
      <c r="AB847" s="113"/>
      <c r="AC847" s="246"/>
      <c r="AD847" s="115"/>
      <c r="AE847" s="115"/>
      <c r="AF847" s="115"/>
      <c r="AG847" s="115"/>
      <c r="AH847" s="115"/>
      <c r="AI847" s="132">
        <f t="shared" si="274"/>
        <v>225020</v>
      </c>
      <c r="AJ847" s="132">
        <f t="shared" si="275"/>
        <v>225020</v>
      </c>
      <c r="AK847" s="133">
        <f t="shared" si="276"/>
        <v>0</v>
      </c>
      <c r="AL847" s="115"/>
      <c r="AM847" s="115" t="s">
        <v>974</v>
      </c>
      <c r="AN847" s="246">
        <v>44869</v>
      </c>
      <c r="AO847" s="100"/>
    </row>
    <row r="848" s="96" customFormat="1" customHeight="1" spans="1:41">
      <c r="A848" s="106" t="s">
        <v>7445</v>
      </c>
      <c r="B848" s="111" t="s">
        <v>7446</v>
      </c>
      <c r="C848" s="111" t="s">
        <v>7447</v>
      </c>
      <c r="D848" s="121" t="s">
        <v>7448</v>
      </c>
      <c r="E848" s="113">
        <v>13503911788</v>
      </c>
      <c r="F848" s="267">
        <v>3</v>
      </c>
      <c r="G848" s="268">
        <v>3113</v>
      </c>
      <c r="H848" s="274">
        <v>36.93</v>
      </c>
      <c r="I848" s="274" t="s">
        <v>2657</v>
      </c>
      <c r="J848" s="113" t="s">
        <v>7449</v>
      </c>
      <c r="K848" s="116">
        <v>29.98</v>
      </c>
      <c r="L848" s="266" t="s">
        <v>3048</v>
      </c>
      <c r="M848" s="266" t="s">
        <v>3131</v>
      </c>
      <c r="N848" s="113" t="s">
        <v>66</v>
      </c>
      <c r="O848" s="113"/>
      <c r="P848" s="113"/>
      <c r="Q848" s="113">
        <v>30838.46</v>
      </c>
      <c r="R848" s="113">
        <v>924537</v>
      </c>
      <c r="S848" s="121">
        <v>464537</v>
      </c>
      <c r="T848" s="292">
        <f t="shared" si="273"/>
        <v>460000</v>
      </c>
      <c r="U848" s="113"/>
      <c r="V848" s="113"/>
      <c r="W848" s="113"/>
      <c r="X848" s="113"/>
      <c r="Y848" s="113"/>
      <c r="Z848" s="113"/>
      <c r="AA848" s="113"/>
      <c r="AB848" s="113"/>
      <c r="AC848" s="246"/>
      <c r="AD848" s="115"/>
      <c r="AE848" s="115"/>
      <c r="AF848" s="115"/>
      <c r="AG848" s="115"/>
      <c r="AH848" s="115"/>
      <c r="AI848" s="132">
        <f t="shared" si="274"/>
        <v>464537</v>
      </c>
      <c r="AJ848" s="132">
        <f t="shared" si="275"/>
        <v>464537</v>
      </c>
      <c r="AK848" s="133">
        <f t="shared" si="276"/>
        <v>0</v>
      </c>
      <c r="AL848" s="115"/>
      <c r="AM848" s="115" t="s">
        <v>974</v>
      </c>
      <c r="AN848" s="246">
        <v>44869</v>
      </c>
      <c r="AO848" s="100"/>
    </row>
    <row r="849" s="96" customFormat="1" customHeight="1" spans="1:41">
      <c r="A849" s="115" t="s">
        <v>7450</v>
      </c>
      <c r="B849" s="111" t="s">
        <v>7451</v>
      </c>
      <c r="C849" s="554" t="s">
        <v>7452</v>
      </c>
      <c r="D849" s="113" t="s">
        <v>7453</v>
      </c>
      <c r="E849" s="111">
        <v>15515614100</v>
      </c>
      <c r="F849" s="267">
        <v>1</v>
      </c>
      <c r="G849" s="268">
        <v>1665</v>
      </c>
      <c r="H849" s="274">
        <v>10.42</v>
      </c>
      <c r="I849" s="274" t="s">
        <v>2657</v>
      </c>
      <c r="J849" s="113" t="s">
        <v>7454</v>
      </c>
      <c r="K849" s="116">
        <v>12.75</v>
      </c>
      <c r="L849" s="266" t="s">
        <v>3932</v>
      </c>
      <c r="M849" s="266" t="s">
        <v>4055</v>
      </c>
      <c r="N849" s="113" t="s">
        <v>66</v>
      </c>
      <c r="O849" s="113"/>
      <c r="P849" s="113"/>
      <c r="Q849" s="113">
        <v>48112.94</v>
      </c>
      <c r="R849" s="113">
        <v>613440</v>
      </c>
      <c r="S849" s="121">
        <v>313440</v>
      </c>
      <c r="T849" s="292">
        <f t="shared" si="273"/>
        <v>300000</v>
      </c>
      <c r="U849" s="113"/>
      <c r="V849" s="113"/>
      <c r="W849" s="113"/>
      <c r="X849" s="113"/>
      <c r="Y849" s="113"/>
      <c r="Z849" s="113"/>
      <c r="AA849" s="275"/>
      <c r="AB849" s="113"/>
      <c r="AC849" s="113"/>
      <c r="AD849" s="122"/>
      <c r="AE849" s="133"/>
      <c r="AF849" s="115"/>
      <c r="AG849" s="133"/>
      <c r="AH849" s="133"/>
      <c r="AI849" s="132">
        <f t="shared" si="274"/>
        <v>313440</v>
      </c>
      <c r="AJ849" s="132">
        <f t="shared" si="275"/>
        <v>313440</v>
      </c>
      <c r="AK849" s="133">
        <f t="shared" si="276"/>
        <v>0</v>
      </c>
      <c r="AL849" s="198"/>
      <c r="AM849" s="133" t="s">
        <v>886</v>
      </c>
      <c r="AN849" s="246">
        <v>44868</v>
      </c>
      <c r="AO849" s="100"/>
    </row>
    <row r="850" s="96" customFormat="1" customHeight="1" spans="1:41">
      <c r="A850" s="115" t="s">
        <v>7455</v>
      </c>
      <c r="B850" s="111" t="s">
        <v>7456</v>
      </c>
      <c r="C850" s="554" t="s">
        <v>7457</v>
      </c>
      <c r="D850" s="113" t="s">
        <v>7458</v>
      </c>
      <c r="E850" s="111">
        <v>13503855366</v>
      </c>
      <c r="F850" s="267">
        <v>1</v>
      </c>
      <c r="G850" s="268">
        <v>1642</v>
      </c>
      <c r="H850" s="274">
        <v>17.68</v>
      </c>
      <c r="I850" s="274" t="s">
        <v>2657</v>
      </c>
      <c r="J850" s="113" t="s">
        <v>7459</v>
      </c>
      <c r="K850" s="116">
        <v>18.47</v>
      </c>
      <c r="L850" s="266" t="s">
        <v>3230</v>
      </c>
      <c r="M850" s="266" t="s">
        <v>7460</v>
      </c>
      <c r="N850" s="113" t="s">
        <v>66</v>
      </c>
      <c r="O850" s="113"/>
      <c r="P850" s="113"/>
      <c r="Q850" s="113">
        <v>47644.83</v>
      </c>
      <c r="R850" s="113">
        <v>842361</v>
      </c>
      <c r="S850" s="121">
        <v>442361</v>
      </c>
      <c r="T850" s="292">
        <f t="shared" si="273"/>
        <v>400000</v>
      </c>
      <c r="U850" s="113"/>
      <c r="V850" s="113">
        <v>1149</v>
      </c>
      <c r="W850" s="113">
        <v>550</v>
      </c>
      <c r="X850" s="113"/>
      <c r="Y850" s="113"/>
      <c r="Z850" s="113"/>
      <c r="AA850" s="275"/>
      <c r="AB850" s="113"/>
      <c r="AC850" s="113"/>
      <c r="AD850" s="122"/>
      <c r="AE850" s="133"/>
      <c r="AF850" s="115"/>
      <c r="AG850" s="133"/>
      <c r="AH850" s="133"/>
      <c r="AI850" s="132">
        <f t="shared" si="274"/>
        <v>444060</v>
      </c>
      <c r="AJ850" s="132">
        <f t="shared" si="275"/>
        <v>444060</v>
      </c>
      <c r="AK850" s="133">
        <f t="shared" si="276"/>
        <v>0</v>
      </c>
      <c r="AL850" s="198"/>
      <c r="AM850" s="133" t="s">
        <v>886</v>
      </c>
      <c r="AN850" s="246">
        <v>44868</v>
      </c>
      <c r="AO850" s="100"/>
    </row>
    <row r="851" s="96" customFormat="1" customHeight="1" spans="1:41">
      <c r="A851" s="115" t="s">
        <v>7461</v>
      </c>
      <c r="B851" s="111" t="s">
        <v>7456</v>
      </c>
      <c r="C851" s="554" t="s">
        <v>7457</v>
      </c>
      <c r="D851" s="113" t="s">
        <v>7458</v>
      </c>
      <c r="E851" s="111">
        <v>13503855366</v>
      </c>
      <c r="F851" s="267">
        <v>1</v>
      </c>
      <c r="G851" s="268">
        <v>1641</v>
      </c>
      <c r="H851" s="274">
        <v>17.68</v>
      </c>
      <c r="I851" s="274" t="s">
        <v>2657</v>
      </c>
      <c r="J851" s="113" t="s">
        <v>7462</v>
      </c>
      <c r="K851" s="116">
        <v>18.47</v>
      </c>
      <c r="L851" s="266" t="s">
        <v>5453</v>
      </c>
      <c r="M851" s="266" t="s">
        <v>7460</v>
      </c>
      <c r="N851" s="113" t="s">
        <v>66</v>
      </c>
      <c r="O851" s="113"/>
      <c r="P851" s="113"/>
      <c r="Q851" s="113">
        <v>47644.83</v>
      </c>
      <c r="R851" s="113">
        <v>842361</v>
      </c>
      <c r="S851" s="121">
        <v>442361</v>
      </c>
      <c r="T851" s="292">
        <f t="shared" si="273"/>
        <v>400000</v>
      </c>
      <c r="U851" s="113"/>
      <c r="V851" s="113">
        <v>1149</v>
      </c>
      <c r="W851" s="113">
        <v>550</v>
      </c>
      <c r="X851" s="113"/>
      <c r="Y851" s="113"/>
      <c r="Z851" s="113"/>
      <c r="AA851" s="275"/>
      <c r="AB851" s="113"/>
      <c r="AC851" s="113"/>
      <c r="AD851" s="122"/>
      <c r="AE851" s="133"/>
      <c r="AF851" s="115"/>
      <c r="AG851" s="133"/>
      <c r="AH851" s="133"/>
      <c r="AI851" s="132">
        <f t="shared" si="274"/>
        <v>444060</v>
      </c>
      <c r="AJ851" s="132">
        <f t="shared" si="275"/>
        <v>444060</v>
      </c>
      <c r="AK851" s="133">
        <f t="shared" si="276"/>
        <v>0</v>
      </c>
      <c r="AL851" s="198"/>
      <c r="AM851" s="133" t="s">
        <v>886</v>
      </c>
      <c r="AN851" s="246">
        <v>44868</v>
      </c>
      <c r="AO851" s="100"/>
    </row>
    <row r="852" s="96" customFormat="1" customHeight="1" spans="1:41">
      <c r="A852" s="115" t="s">
        <v>7463</v>
      </c>
      <c r="B852" s="111" t="s">
        <v>7464</v>
      </c>
      <c r="C852" s="554" t="s">
        <v>7465</v>
      </c>
      <c r="D852" s="113"/>
      <c r="E852" s="111">
        <v>13298128818</v>
      </c>
      <c r="F852" s="267">
        <v>1</v>
      </c>
      <c r="G852" s="268">
        <v>1748</v>
      </c>
      <c r="H852" s="274">
        <v>16.5</v>
      </c>
      <c r="I852" s="274" t="s">
        <v>2657</v>
      </c>
      <c r="J852" s="113" t="s">
        <v>7466</v>
      </c>
      <c r="K852" s="116">
        <v>17.15</v>
      </c>
      <c r="L852" s="266" t="s">
        <v>7467</v>
      </c>
      <c r="M852" s="266" t="s">
        <v>3484</v>
      </c>
      <c r="N852" s="113" t="s">
        <v>56</v>
      </c>
      <c r="O852" s="113"/>
      <c r="P852" s="113"/>
      <c r="Q852" s="113">
        <v>46064.14</v>
      </c>
      <c r="R852" s="113">
        <v>760058</v>
      </c>
      <c r="S852" s="121">
        <v>760058</v>
      </c>
      <c r="T852" s="292">
        <f t="shared" si="273"/>
        <v>0</v>
      </c>
      <c r="U852" s="113"/>
      <c r="V852" s="113">
        <v>1072</v>
      </c>
      <c r="W852" s="113">
        <v>550</v>
      </c>
      <c r="X852" s="113">
        <v>28320</v>
      </c>
      <c r="Y852" s="113" t="s">
        <v>2669</v>
      </c>
      <c r="Z852" s="113" t="s">
        <v>48</v>
      </c>
      <c r="AA852" s="275">
        <v>44087</v>
      </c>
      <c r="AB852" s="113"/>
      <c r="AC852" s="113"/>
      <c r="AD852" s="122"/>
      <c r="AE852" s="133"/>
      <c r="AF852" s="115"/>
      <c r="AG852" s="133"/>
      <c r="AH852" s="133"/>
      <c r="AI852" s="132">
        <f t="shared" si="274"/>
        <v>790000</v>
      </c>
      <c r="AJ852" s="132">
        <f t="shared" si="275"/>
        <v>790000</v>
      </c>
      <c r="AK852" s="133">
        <f t="shared" si="276"/>
        <v>0</v>
      </c>
      <c r="AL852" s="198"/>
      <c r="AM852" s="133" t="s">
        <v>886</v>
      </c>
      <c r="AN852" s="246">
        <v>44868</v>
      </c>
      <c r="AO852" s="100"/>
    </row>
    <row r="853" s="96" customFormat="1" customHeight="1" spans="1:41">
      <c r="A853" s="115" t="s">
        <v>7468</v>
      </c>
      <c r="B853" s="111" t="s">
        <v>7469</v>
      </c>
      <c r="C853" s="554" t="s">
        <v>7470</v>
      </c>
      <c r="D853" s="113" t="s">
        <v>7471</v>
      </c>
      <c r="E853" s="111">
        <v>18623976558</v>
      </c>
      <c r="F853" s="267">
        <v>1</v>
      </c>
      <c r="G853" s="268">
        <v>1610</v>
      </c>
      <c r="H853" s="274"/>
      <c r="I853" s="274" t="s">
        <v>2657</v>
      </c>
      <c r="J853" s="113" t="s">
        <v>7472</v>
      </c>
      <c r="K853" s="116">
        <v>20.69</v>
      </c>
      <c r="L853" s="266" t="s">
        <v>2691</v>
      </c>
      <c r="M853" s="266" t="s">
        <v>3009</v>
      </c>
      <c r="N853" s="113" t="s">
        <v>66</v>
      </c>
      <c r="O853" s="113"/>
      <c r="P853" s="113"/>
      <c r="Q853" s="113">
        <v>48332.53</v>
      </c>
      <c r="R853" s="113">
        <v>1000000</v>
      </c>
      <c r="S853" s="121">
        <v>500000</v>
      </c>
      <c r="T853" s="292">
        <f t="shared" si="273"/>
        <v>500000</v>
      </c>
      <c r="U853" s="113"/>
      <c r="V853" s="113"/>
      <c r="W853" s="113"/>
      <c r="X853" s="113"/>
      <c r="Y853" s="113"/>
      <c r="Z853" s="113"/>
      <c r="AA853" s="275"/>
      <c r="AB853" s="113"/>
      <c r="AC853" s="113"/>
      <c r="AD853" s="122">
        <v>100000</v>
      </c>
      <c r="AE853" s="133"/>
      <c r="AF853" s="115"/>
      <c r="AG853" s="133"/>
      <c r="AH853" s="133"/>
      <c r="AI853" s="132">
        <f t="shared" si="274"/>
        <v>600000</v>
      </c>
      <c r="AJ853" s="132">
        <f t="shared" si="275"/>
        <v>500000</v>
      </c>
      <c r="AK853" s="133">
        <f t="shared" si="276"/>
        <v>100000</v>
      </c>
      <c r="AL853" s="198"/>
      <c r="AM853" s="133" t="s">
        <v>886</v>
      </c>
      <c r="AN853" s="246">
        <v>44868</v>
      </c>
      <c r="AO853" s="100"/>
    </row>
    <row r="854" s="96" customFormat="1" customHeight="1" spans="1:41">
      <c r="A854" s="115" t="s">
        <v>7473</v>
      </c>
      <c r="B854" s="111" t="s">
        <v>7474</v>
      </c>
      <c r="C854" s="554" t="s">
        <v>7475</v>
      </c>
      <c r="D854" s="113" t="s">
        <v>3196</v>
      </c>
      <c r="E854" s="111" t="s">
        <v>7476</v>
      </c>
      <c r="F854" s="267">
        <v>1</v>
      </c>
      <c r="G854" s="268">
        <v>1610</v>
      </c>
      <c r="H854" s="274">
        <v>41.94</v>
      </c>
      <c r="I854" s="274" t="s">
        <v>2657</v>
      </c>
      <c r="J854" s="113" t="s">
        <v>7477</v>
      </c>
      <c r="K854" s="116">
        <v>22.51</v>
      </c>
      <c r="L854" s="266" t="s">
        <v>2954</v>
      </c>
      <c r="M854" s="266" t="s">
        <v>2954</v>
      </c>
      <c r="N854" s="113" t="s">
        <v>56</v>
      </c>
      <c r="O854" s="113"/>
      <c r="P854" s="113"/>
      <c r="Q854" s="113">
        <v>46645.94</v>
      </c>
      <c r="R854" s="113">
        <v>1050000</v>
      </c>
      <c r="S854" s="121">
        <v>1050000</v>
      </c>
      <c r="T854" s="292">
        <f t="shared" si="273"/>
        <v>0</v>
      </c>
      <c r="U854" s="113"/>
      <c r="V854" s="113"/>
      <c r="W854" s="113"/>
      <c r="X854" s="113"/>
      <c r="Y854" s="113"/>
      <c r="Z854" s="113"/>
      <c r="AA854" s="275"/>
      <c r="AB854" s="113"/>
      <c r="AC854" s="113"/>
      <c r="AD854" s="122"/>
      <c r="AE854" s="133"/>
      <c r="AF854" s="115"/>
      <c r="AG854" s="133"/>
      <c r="AH854" s="133"/>
      <c r="AI854" s="132">
        <f t="shared" si="274"/>
        <v>1050000</v>
      </c>
      <c r="AJ854" s="132">
        <f t="shared" si="275"/>
        <v>1050000</v>
      </c>
      <c r="AK854" s="133">
        <f t="shared" si="276"/>
        <v>0</v>
      </c>
      <c r="AL854" s="198"/>
      <c r="AM854" s="133" t="s">
        <v>886</v>
      </c>
      <c r="AN854" s="246">
        <v>44868</v>
      </c>
      <c r="AO854" s="100"/>
    </row>
    <row r="855" s="96" customFormat="1" customHeight="1" spans="1:41">
      <c r="A855" s="115" t="s">
        <v>7478</v>
      </c>
      <c r="B855" s="111" t="s">
        <v>7479</v>
      </c>
      <c r="C855" s="554" t="s">
        <v>7480</v>
      </c>
      <c r="D855" s="113" t="s">
        <v>7481</v>
      </c>
      <c r="E855" s="111">
        <v>15938716998</v>
      </c>
      <c r="F855" s="267">
        <v>1</v>
      </c>
      <c r="G855" s="268">
        <v>1363</v>
      </c>
      <c r="H855" s="274">
        <v>11.09</v>
      </c>
      <c r="I855" s="274" t="s">
        <v>2657</v>
      </c>
      <c r="J855" s="113"/>
      <c r="K855" s="116"/>
      <c r="L855" s="266" t="s">
        <v>4270</v>
      </c>
      <c r="M855" s="266" t="s">
        <v>6928</v>
      </c>
      <c r="N855" s="113" t="s">
        <v>66</v>
      </c>
      <c r="O855" s="113"/>
      <c r="P855" s="113"/>
      <c r="Q855" s="113">
        <v>47419.93</v>
      </c>
      <c r="R855" s="113">
        <v>525887</v>
      </c>
      <c r="S855" s="121">
        <v>265887</v>
      </c>
      <c r="T855" s="292">
        <f t="shared" si="273"/>
        <v>260000</v>
      </c>
      <c r="U855" s="113"/>
      <c r="V855" s="113">
        <v>720</v>
      </c>
      <c r="W855" s="113">
        <v>550</v>
      </c>
      <c r="X855" s="113"/>
      <c r="Y855" s="113"/>
      <c r="Z855" s="113"/>
      <c r="AA855" s="275"/>
      <c r="AB855" s="113"/>
      <c r="AC855" s="113"/>
      <c r="AD855" s="122"/>
      <c r="AE855" s="133"/>
      <c r="AF855" s="115"/>
      <c r="AG855" s="133"/>
      <c r="AH855" s="133"/>
      <c r="AI855" s="132">
        <f t="shared" si="274"/>
        <v>267157</v>
      </c>
      <c r="AJ855" s="132">
        <f t="shared" si="275"/>
        <v>267157</v>
      </c>
      <c r="AK855" s="133">
        <f t="shared" si="276"/>
        <v>0</v>
      </c>
      <c r="AL855" s="198"/>
      <c r="AM855" s="133" t="s">
        <v>886</v>
      </c>
      <c r="AN855" s="246">
        <v>44868</v>
      </c>
      <c r="AO855" s="100"/>
    </row>
    <row r="856" s="96" customFormat="1" customHeight="1" spans="1:41">
      <c r="A856" s="115" t="s">
        <v>7482</v>
      </c>
      <c r="B856" s="111" t="s">
        <v>7483</v>
      </c>
      <c r="C856" s="554" t="s">
        <v>7484</v>
      </c>
      <c r="D856" s="113" t="s">
        <v>7485</v>
      </c>
      <c r="E856" s="111">
        <v>13460005391</v>
      </c>
      <c r="F856" s="267">
        <v>2</v>
      </c>
      <c r="G856" s="268">
        <v>282</v>
      </c>
      <c r="H856" s="274">
        <v>14.15</v>
      </c>
      <c r="I856" s="274" t="s">
        <v>2665</v>
      </c>
      <c r="J856" s="113" t="s">
        <v>7486</v>
      </c>
      <c r="K856" s="116">
        <v>27.85</v>
      </c>
      <c r="L856" s="266" t="s">
        <v>2711</v>
      </c>
      <c r="M856" s="266" t="s">
        <v>2814</v>
      </c>
      <c r="N856" s="113" t="s">
        <v>56</v>
      </c>
      <c r="O856" s="113"/>
      <c r="P856" s="113"/>
      <c r="Q856" s="113">
        <v>29922.94</v>
      </c>
      <c r="R856" s="113">
        <v>423410</v>
      </c>
      <c r="S856" s="121">
        <v>423410</v>
      </c>
      <c r="T856" s="292">
        <f t="shared" si="273"/>
        <v>0</v>
      </c>
      <c r="U856" s="113"/>
      <c r="V856" s="113">
        <v>919</v>
      </c>
      <c r="W856" s="113">
        <v>550</v>
      </c>
      <c r="X856" s="113"/>
      <c r="Y856" s="113" t="s">
        <v>2669</v>
      </c>
      <c r="Z856" s="113" t="s">
        <v>48</v>
      </c>
      <c r="AA856" s="275">
        <v>44033</v>
      </c>
      <c r="AB856" s="113"/>
      <c r="AC856" s="113"/>
      <c r="AD856" s="122"/>
      <c r="AE856" s="133"/>
      <c r="AF856" s="115"/>
      <c r="AG856" s="133"/>
      <c r="AH856" s="133"/>
      <c r="AI856" s="132">
        <f t="shared" si="274"/>
        <v>424879</v>
      </c>
      <c r="AJ856" s="132">
        <f t="shared" si="275"/>
        <v>424879</v>
      </c>
      <c r="AK856" s="133">
        <f t="shared" si="276"/>
        <v>0</v>
      </c>
      <c r="AL856" s="198"/>
      <c r="AM856" s="133" t="s">
        <v>886</v>
      </c>
      <c r="AN856" s="246">
        <v>44868</v>
      </c>
      <c r="AO856" s="100"/>
    </row>
    <row r="857" s="96" customFormat="1" customHeight="1" spans="1:41">
      <c r="A857" s="115" t="s">
        <v>7487</v>
      </c>
      <c r="B857" s="111" t="s">
        <v>7488</v>
      </c>
      <c r="C857" s="554" t="s">
        <v>7489</v>
      </c>
      <c r="D857" s="113" t="s">
        <v>7490</v>
      </c>
      <c r="E857" s="111">
        <v>13939271511</v>
      </c>
      <c r="F857" s="267">
        <v>1</v>
      </c>
      <c r="G857" s="268">
        <v>1209</v>
      </c>
      <c r="H857" s="274">
        <v>16.82</v>
      </c>
      <c r="I857" s="274" t="s">
        <v>2657</v>
      </c>
      <c r="J857" s="113" t="s">
        <v>7491</v>
      </c>
      <c r="K857" s="116">
        <v>19.3</v>
      </c>
      <c r="L857" s="266" t="s">
        <v>2890</v>
      </c>
      <c r="M857" s="266" t="s">
        <v>2762</v>
      </c>
      <c r="N857" s="113" t="s">
        <v>66</v>
      </c>
      <c r="O857" s="113"/>
      <c r="P857" s="113"/>
      <c r="Q857" s="113">
        <v>47035.49</v>
      </c>
      <c r="R857" s="113">
        <v>907785</v>
      </c>
      <c r="S857" s="121">
        <v>457785</v>
      </c>
      <c r="T857" s="292">
        <f t="shared" si="273"/>
        <v>450000</v>
      </c>
      <c r="U857" s="113"/>
      <c r="V857" s="113"/>
      <c r="W857" s="113"/>
      <c r="X857" s="113"/>
      <c r="Y857" s="113"/>
      <c r="Z857" s="113"/>
      <c r="AA857" s="275"/>
      <c r="AB857" s="113"/>
      <c r="AC857" s="113"/>
      <c r="AD857" s="122"/>
      <c r="AE857" s="133"/>
      <c r="AF857" s="115"/>
      <c r="AG857" s="133"/>
      <c r="AH857" s="133"/>
      <c r="AI857" s="132">
        <f t="shared" si="274"/>
        <v>457785</v>
      </c>
      <c r="AJ857" s="132">
        <f t="shared" si="275"/>
        <v>457785</v>
      </c>
      <c r="AK857" s="133">
        <f t="shared" si="276"/>
        <v>0</v>
      </c>
      <c r="AL857" s="198" t="s">
        <v>7492</v>
      </c>
      <c r="AM857" s="133" t="s">
        <v>886</v>
      </c>
      <c r="AN857" s="246">
        <v>44868</v>
      </c>
      <c r="AO857" s="100"/>
    </row>
    <row r="858" s="96" customFormat="1" customHeight="1" spans="1:41">
      <c r="A858" s="115" t="s">
        <v>7493</v>
      </c>
      <c r="B858" s="111" t="s">
        <v>7494</v>
      </c>
      <c r="C858" s="554" t="s">
        <v>7495</v>
      </c>
      <c r="D858" s="113" t="s">
        <v>7496</v>
      </c>
      <c r="E858" s="111">
        <v>17703927700</v>
      </c>
      <c r="F858" s="267">
        <v>2</v>
      </c>
      <c r="G858" s="268">
        <v>274</v>
      </c>
      <c r="H858" s="274">
        <v>23.39</v>
      </c>
      <c r="I858" s="274" t="s">
        <v>2665</v>
      </c>
      <c r="J858" s="113" t="s">
        <v>7497</v>
      </c>
      <c r="K858" s="116">
        <v>24.3</v>
      </c>
      <c r="L858" s="266" t="s">
        <v>7498</v>
      </c>
      <c r="M858" s="266" t="s">
        <v>4257</v>
      </c>
      <c r="N858" s="113" t="s">
        <v>66</v>
      </c>
      <c r="O858" s="113"/>
      <c r="P858" s="113"/>
      <c r="Q858" s="113">
        <v>34570.78</v>
      </c>
      <c r="R858" s="113">
        <v>808611</v>
      </c>
      <c r="S858" s="121">
        <v>418611</v>
      </c>
      <c r="T858" s="292">
        <f t="shared" si="273"/>
        <v>390000</v>
      </c>
      <c r="U858" s="113"/>
      <c r="V858" s="113">
        <v>1520</v>
      </c>
      <c r="W858" s="113">
        <v>550</v>
      </c>
      <c r="X858" s="113"/>
      <c r="Y858" s="113" t="s">
        <v>2669</v>
      </c>
      <c r="Z858" s="113"/>
      <c r="AA858" s="275"/>
      <c r="AB858" s="113"/>
      <c r="AC858" s="113">
        <v>1259</v>
      </c>
      <c r="AD858" s="122"/>
      <c r="AE858" s="133"/>
      <c r="AF858" s="115"/>
      <c r="AG858" s="133"/>
      <c r="AH858" s="133"/>
      <c r="AI858" s="132">
        <f t="shared" ref="AI858:AI871" si="277">S858+U858+V858+W858+X858+AC858+AD858+AE858</f>
        <v>421940</v>
      </c>
      <c r="AJ858" s="132">
        <f t="shared" ref="AJ858:AJ869" si="278">S858+U858+V858+W858+X858</f>
        <v>420681</v>
      </c>
      <c r="AK858" s="133">
        <f t="shared" ref="AK858:AK871" si="279">AI858-AJ858</f>
        <v>1259</v>
      </c>
      <c r="AL858" s="198"/>
      <c r="AM858" s="133" t="s">
        <v>886</v>
      </c>
      <c r="AN858" s="246">
        <v>44868</v>
      </c>
      <c r="AO858" s="100"/>
    </row>
    <row r="859" s="96" customFormat="1" customHeight="1" spans="1:41">
      <c r="A859" s="115" t="s">
        <v>7499</v>
      </c>
      <c r="B859" s="111" t="s">
        <v>7500</v>
      </c>
      <c r="C859" s="554" t="s">
        <v>7501</v>
      </c>
      <c r="D859" s="113" t="s">
        <v>7502</v>
      </c>
      <c r="E859" s="111">
        <v>13849713318</v>
      </c>
      <c r="F859" s="267">
        <v>1</v>
      </c>
      <c r="G859" s="268">
        <v>1671</v>
      </c>
      <c r="H859" s="274">
        <v>10.42</v>
      </c>
      <c r="I859" s="274" t="s">
        <v>2657</v>
      </c>
      <c r="J859" s="113" t="s">
        <v>7503</v>
      </c>
      <c r="K859" s="116">
        <v>10.62</v>
      </c>
      <c r="L859" s="266" t="s">
        <v>4728</v>
      </c>
      <c r="M859" s="266" t="s">
        <v>6865</v>
      </c>
      <c r="N859" s="113" t="s">
        <v>66</v>
      </c>
      <c r="O859" s="113"/>
      <c r="P859" s="113"/>
      <c r="Q859" s="113">
        <v>49440.96</v>
      </c>
      <c r="R859" s="113">
        <v>525063</v>
      </c>
      <c r="S859" s="121">
        <v>265063</v>
      </c>
      <c r="T859" s="292">
        <f t="shared" si="273"/>
        <v>260000</v>
      </c>
      <c r="U859" s="113"/>
      <c r="V859" s="113"/>
      <c r="W859" s="113"/>
      <c r="X859" s="113"/>
      <c r="Y859" s="113"/>
      <c r="Z859" s="113"/>
      <c r="AA859" s="275"/>
      <c r="AB859" s="113"/>
      <c r="AC859" s="113"/>
      <c r="AD859" s="122"/>
      <c r="AE859" s="133"/>
      <c r="AF859" s="115"/>
      <c r="AG859" s="133"/>
      <c r="AH859" s="133"/>
      <c r="AI859" s="132">
        <f t="shared" si="277"/>
        <v>265063</v>
      </c>
      <c r="AJ859" s="132">
        <f t="shared" si="278"/>
        <v>265063</v>
      </c>
      <c r="AK859" s="133">
        <f t="shared" si="279"/>
        <v>0</v>
      </c>
      <c r="AL859" s="198"/>
      <c r="AM859" s="133" t="s">
        <v>886</v>
      </c>
      <c r="AN859" s="246">
        <v>44868</v>
      </c>
      <c r="AO859" s="100"/>
    </row>
    <row r="860" s="96" customFormat="1" customHeight="1" spans="1:41">
      <c r="A860" s="115" t="s">
        <v>7504</v>
      </c>
      <c r="B860" s="111" t="s">
        <v>7505</v>
      </c>
      <c r="C860" s="554" t="s">
        <v>7506</v>
      </c>
      <c r="D860" s="113" t="s">
        <v>7507</v>
      </c>
      <c r="E860" s="111">
        <v>15617807817</v>
      </c>
      <c r="F860" s="267">
        <v>1</v>
      </c>
      <c r="G860" s="268">
        <v>1497</v>
      </c>
      <c r="H860" s="274">
        <v>85.51</v>
      </c>
      <c r="I860" s="274" t="s">
        <v>2657</v>
      </c>
      <c r="J860" s="113" t="s">
        <v>7508</v>
      </c>
      <c r="K860" s="116">
        <v>95.94</v>
      </c>
      <c r="L860" s="266" t="s">
        <v>3282</v>
      </c>
      <c r="M860" s="266" t="s">
        <v>3282</v>
      </c>
      <c r="N860" s="113" t="s">
        <v>2677</v>
      </c>
      <c r="O860" s="113"/>
      <c r="P860" s="113"/>
      <c r="Q860" s="113">
        <v>53158.22</v>
      </c>
      <c r="R860" s="113">
        <v>5100000</v>
      </c>
      <c r="S860" s="121">
        <v>2550000</v>
      </c>
      <c r="T860" s="292">
        <f t="shared" si="273"/>
        <v>2550000</v>
      </c>
      <c r="U860" s="113"/>
      <c r="V860" s="113"/>
      <c r="W860" s="113"/>
      <c r="X860" s="113"/>
      <c r="Y860" s="113"/>
      <c r="Z860" s="113"/>
      <c r="AA860" s="275"/>
      <c r="AB860" s="113" t="s">
        <v>7509</v>
      </c>
      <c r="AC860" s="113"/>
      <c r="AD860" s="122"/>
      <c r="AE860" s="133"/>
      <c r="AF860" s="115"/>
      <c r="AG860" s="133"/>
      <c r="AH860" s="133"/>
      <c r="AI860" s="132">
        <f t="shared" si="277"/>
        <v>2550000</v>
      </c>
      <c r="AJ860" s="132">
        <f t="shared" si="278"/>
        <v>2550000</v>
      </c>
      <c r="AK860" s="133">
        <f t="shared" si="279"/>
        <v>0</v>
      </c>
      <c r="AL860" s="198"/>
      <c r="AM860" s="133" t="s">
        <v>886</v>
      </c>
      <c r="AN860" s="246">
        <v>44868</v>
      </c>
      <c r="AO860" s="100"/>
    </row>
    <row r="861" s="96" customFormat="1" customHeight="1" spans="1:41">
      <c r="A861" s="115" t="s">
        <v>7510</v>
      </c>
      <c r="B861" s="111" t="s">
        <v>7505</v>
      </c>
      <c r="C861" s="554" t="s">
        <v>7506</v>
      </c>
      <c r="D861" s="113" t="s">
        <v>7507</v>
      </c>
      <c r="E861" s="111">
        <v>15617807817</v>
      </c>
      <c r="F861" s="267">
        <v>1</v>
      </c>
      <c r="G861" s="268">
        <v>1498</v>
      </c>
      <c r="H861" s="274">
        <v>90.71</v>
      </c>
      <c r="I861" s="274" t="s">
        <v>2657</v>
      </c>
      <c r="J861" s="113" t="s">
        <v>7511</v>
      </c>
      <c r="K861" s="116">
        <v>93.6</v>
      </c>
      <c r="L861" s="266" t="s">
        <v>3282</v>
      </c>
      <c r="M861" s="266" t="s">
        <v>3282</v>
      </c>
      <c r="N861" s="113" t="s">
        <v>2677</v>
      </c>
      <c r="O861" s="113"/>
      <c r="P861" s="113"/>
      <c r="Q861" s="113">
        <v>53205.13</v>
      </c>
      <c r="R861" s="113">
        <v>4980000</v>
      </c>
      <c r="S861" s="121">
        <v>2490000</v>
      </c>
      <c r="T861" s="292">
        <f t="shared" si="273"/>
        <v>2490000</v>
      </c>
      <c r="U861" s="113"/>
      <c r="V861" s="113"/>
      <c r="W861" s="113"/>
      <c r="X861" s="113"/>
      <c r="Y861" s="113"/>
      <c r="Z861" s="113"/>
      <c r="AA861" s="275"/>
      <c r="AB861" s="113" t="s">
        <v>7509</v>
      </c>
      <c r="AC861" s="113"/>
      <c r="AD861" s="122"/>
      <c r="AE861" s="133"/>
      <c r="AF861" s="115"/>
      <c r="AG861" s="133"/>
      <c r="AH861" s="133"/>
      <c r="AI861" s="132">
        <f t="shared" si="277"/>
        <v>2490000</v>
      </c>
      <c r="AJ861" s="132">
        <f t="shared" si="278"/>
        <v>2490000</v>
      </c>
      <c r="AK861" s="133">
        <f t="shared" si="279"/>
        <v>0</v>
      </c>
      <c r="AL861" s="198"/>
      <c r="AM861" s="133" t="s">
        <v>886</v>
      </c>
      <c r="AN861" s="246">
        <v>44868</v>
      </c>
      <c r="AO861" s="100"/>
    </row>
    <row r="862" s="96" customFormat="1" customHeight="1" spans="1:41">
      <c r="A862" s="115" t="s">
        <v>7512</v>
      </c>
      <c r="B862" s="111" t="s">
        <v>7513</v>
      </c>
      <c r="C862" s="554" t="s">
        <v>7514</v>
      </c>
      <c r="D862" s="113" t="s">
        <v>7515</v>
      </c>
      <c r="E862" s="111">
        <v>13643718958</v>
      </c>
      <c r="F862" s="267">
        <v>1</v>
      </c>
      <c r="G862" s="268">
        <v>1246</v>
      </c>
      <c r="H862" s="274">
        <v>16.74</v>
      </c>
      <c r="I862" s="274" t="s">
        <v>2657</v>
      </c>
      <c r="J862" s="113" t="s">
        <v>7516</v>
      </c>
      <c r="K862" s="116">
        <v>15.89</v>
      </c>
      <c r="L862" s="266" t="s">
        <v>3048</v>
      </c>
      <c r="M862" s="266" t="s">
        <v>7517</v>
      </c>
      <c r="N862" s="113" t="s">
        <v>56</v>
      </c>
      <c r="O862" s="113"/>
      <c r="P862" s="113"/>
      <c r="Q862" s="113">
        <v>47351.19</v>
      </c>
      <c r="R862" s="113">
        <v>792659</v>
      </c>
      <c r="S862" s="121">
        <v>792659</v>
      </c>
      <c r="T862" s="292">
        <f t="shared" si="273"/>
        <v>0</v>
      </c>
      <c r="U862" s="113"/>
      <c r="V862" s="113">
        <v>1088</v>
      </c>
      <c r="W862" s="113">
        <v>550</v>
      </c>
      <c r="X862" s="113"/>
      <c r="Y862" s="113" t="s">
        <v>2669</v>
      </c>
      <c r="Z862" s="113" t="s">
        <v>48</v>
      </c>
      <c r="AA862" s="275">
        <v>44186</v>
      </c>
      <c r="AB862" s="113"/>
      <c r="AC862" s="113"/>
      <c r="AD862" s="122"/>
      <c r="AE862" s="133"/>
      <c r="AF862" s="115"/>
      <c r="AG862" s="133"/>
      <c r="AH862" s="133"/>
      <c r="AI862" s="132">
        <f t="shared" si="277"/>
        <v>794297</v>
      </c>
      <c r="AJ862" s="132">
        <f t="shared" si="278"/>
        <v>794297</v>
      </c>
      <c r="AK862" s="133">
        <f t="shared" si="279"/>
        <v>0</v>
      </c>
      <c r="AL862" s="198"/>
      <c r="AM862" s="133" t="s">
        <v>886</v>
      </c>
      <c r="AN862" s="246">
        <v>44868</v>
      </c>
      <c r="AO862" s="100"/>
    </row>
    <row r="863" s="96" customFormat="1" customHeight="1" spans="1:41">
      <c r="A863" s="115" t="s">
        <v>7518</v>
      </c>
      <c r="B863" s="111" t="s">
        <v>7519</v>
      </c>
      <c r="C863" s="554" t="s">
        <v>7520</v>
      </c>
      <c r="D863" s="113" t="s">
        <v>7521</v>
      </c>
      <c r="E863" s="111">
        <v>13503437446</v>
      </c>
      <c r="F863" s="267">
        <v>1</v>
      </c>
      <c r="G863" s="268">
        <v>1782</v>
      </c>
      <c r="H863" s="274">
        <v>23.03</v>
      </c>
      <c r="I863" s="274" t="s">
        <v>2657</v>
      </c>
      <c r="J863" s="113" t="s">
        <v>7522</v>
      </c>
      <c r="K863" s="116">
        <v>22.66</v>
      </c>
      <c r="L863" s="266" t="s">
        <v>2762</v>
      </c>
      <c r="M863" s="266" t="s">
        <v>3163</v>
      </c>
      <c r="N863" s="113" t="s">
        <v>56</v>
      </c>
      <c r="O863" s="113"/>
      <c r="P863" s="113"/>
      <c r="Q863" s="113">
        <v>46337.17</v>
      </c>
      <c r="R863" s="113">
        <v>1067145</v>
      </c>
      <c r="S863" s="121">
        <v>1067145</v>
      </c>
      <c r="T863" s="292">
        <f t="shared" si="273"/>
        <v>0</v>
      </c>
      <c r="U863" s="113"/>
      <c r="V863" s="113">
        <v>1496</v>
      </c>
      <c r="W863" s="113">
        <v>550</v>
      </c>
      <c r="X863" s="113"/>
      <c r="Y863" s="113" t="s">
        <v>2669</v>
      </c>
      <c r="Z863" s="113" t="s">
        <v>48</v>
      </c>
      <c r="AA863" s="275">
        <v>44051</v>
      </c>
      <c r="AB863" s="113"/>
      <c r="AC863" s="113"/>
      <c r="AD863" s="122"/>
      <c r="AE863" s="133"/>
      <c r="AF863" s="115"/>
      <c r="AG863" s="133"/>
      <c r="AH863" s="133"/>
      <c r="AI863" s="132">
        <f t="shared" si="277"/>
        <v>1069191</v>
      </c>
      <c r="AJ863" s="132">
        <f t="shared" si="278"/>
        <v>1069191</v>
      </c>
      <c r="AK863" s="133">
        <f t="shared" si="279"/>
        <v>0</v>
      </c>
      <c r="AL863" s="198"/>
      <c r="AM863" s="133" t="s">
        <v>886</v>
      </c>
      <c r="AN863" s="246">
        <v>44868</v>
      </c>
      <c r="AO863" s="100"/>
    </row>
    <row r="864" s="96" customFormat="1" customHeight="1" spans="1:41">
      <c r="A864" s="115" t="s">
        <v>7523</v>
      </c>
      <c r="B864" s="111" t="s">
        <v>7524</v>
      </c>
      <c r="C864" s="554" t="s">
        <v>7525</v>
      </c>
      <c r="D864" s="113" t="s">
        <v>7526</v>
      </c>
      <c r="E864" s="111">
        <v>18530883365</v>
      </c>
      <c r="F864" s="267">
        <v>1</v>
      </c>
      <c r="G864" s="268">
        <v>1614</v>
      </c>
      <c r="H864" s="274">
        <v>36.53</v>
      </c>
      <c r="I864" s="274" t="s">
        <v>2657</v>
      </c>
      <c r="J864" s="113" t="s">
        <v>7527</v>
      </c>
      <c r="K864" s="116">
        <v>21.21</v>
      </c>
      <c r="L864" s="266" t="s">
        <v>3073</v>
      </c>
      <c r="M864" s="266" t="s">
        <v>3061</v>
      </c>
      <c r="N864" s="113" t="s">
        <v>56</v>
      </c>
      <c r="O864" s="113"/>
      <c r="P864" s="113"/>
      <c r="Q864" s="113">
        <v>46094.81</v>
      </c>
      <c r="R864" s="113">
        <v>977671</v>
      </c>
      <c r="S864" s="121">
        <v>977671</v>
      </c>
      <c r="T864" s="292">
        <f t="shared" si="273"/>
        <v>0</v>
      </c>
      <c r="U864" s="113"/>
      <c r="V864" s="113"/>
      <c r="W864" s="113"/>
      <c r="X864" s="113"/>
      <c r="Y864" s="113"/>
      <c r="Z864" s="113"/>
      <c r="AA864" s="275"/>
      <c r="AB864" s="113"/>
      <c r="AC864" s="113"/>
      <c r="AD864" s="122"/>
      <c r="AE864" s="133"/>
      <c r="AF864" s="115"/>
      <c r="AG864" s="133"/>
      <c r="AH864" s="133"/>
      <c r="AI864" s="132">
        <f t="shared" si="277"/>
        <v>977671</v>
      </c>
      <c r="AJ864" s="132">
        <f t="shared" si="278"/>
        <v>977671</v>
      </c>
      <c r="AK864" s="133">
        <f t="shared" si="279"/>
        <v>0</v>
      </c>
      <c r="AL864" s="198"/>
      <c r="AM864" s="133" t="s">
        <v>886</v>
      </c>
      <c r="AN864" s="246">
        <v>44868</v>
      </c>
      <c r="AO864" s="100"/>
    </row>
    <row r="865" s="96" customFormat="1" customHeight="1" spans="1:57">
      <c r="A865" s="115" t="s">
        <v>7528</v>
      </c>
      <c r="B865" s="111" t="s">
        <v>7529</v>
      </c>
      <c r="C865" s="111" t="s">
        <v>7530</v>
      </c>
      <c r="D865" s="113" t="s">
        <v>7531</v>
      </c>
      <c r="E865" s="111">
        <v>15638222444</v>
      </c>
      <c r="F865" s="267">
        <v>3</v>
      </c>
      <c r="G865" s="268">
        <v>3418</v>
      </c>
      <c r="H865" s="274">
        <v>23.41</v>
      </c>
      <c r="I865" s="274" t="s">
        <v>2657</v>
      </c>
      <c r="J865" s="113" t="s">
        <v>7532</v>
      </c>
      <c r="K865" s="116">
        <v>18.1</v>
      </c>
      <c r="L865" s="266" t="s">
        <v>3042</v>
      </c>
      <c r="M865" s="266"/>
      <c r="N865" s="113" t="s">
        <v>66</v>
      </c>
      <c r="O865" s="113"/>
      <c r="P865" s="113"/>
      <c r="Q865" s="113"/>
      <c r="R865" s="113"/>
      <c r="S865" s="121">
        <v>100000</v>
      </c>
      <c r="T865" s="292">
        <f t="shared" si="273"/>
        <v>-100000</v>
      </c>
      <c r="U865" s="113"/>
      <c r="V865" s="113"/>
      <c r="W865" s="113"/>
      <c r="X865" s="113"/>
      <c r="Y865" s="113"/>
      <c r="Z865" s="113"/>
      <c r="AA865" s="275"/>
      <c r="AB865" s="113"/>
      <c r="AC865" s="113"/>
      <c r="AD865" s="122"/>
      <c r="AE865" s="133"/>
      <c r="AF865" s="115"/>
      <c r="AG865" s="133"/>
      <c r="AH865" s="133"/>
      <c r="AI865" s="132">
        <f t="shared" si="277"/>
        <v>100000</v>
      </c>
      <c r="AJ865" s="132">
        <f t="shared" si="278"/>
        <v>100000</v>
      </c>
      <c r="AK865" s="133">
        <f t="shared" si="279"/>
        <v>0</v>
      </c>
      <c r="AL865" s="198"/>
      <c r="AM865" s="133" t="s">
        <v>886</v>
      </c>
      <c r="AN865" s="246">
        <v>44868</v>
      </c>
      <c r="AO865" s="137"/>
      <c r="AP865" s="97"/>
      <c r="AQ865" s="97"/>
      <c r="AR865" s="97"/>
      <c r="AS865" s="97"/>
      <c r="AT865" s="97"/>
      <c r="AU865" s="97"/>
      <c r="AV865" s="97"/>
      <c r="AW865" s="97"/>
      <c r="AX865" s="97"/>
      <c r="AY865" s="97"/>
      <c r="AZ865" s="97"/>
      <c r="BA865" s="97"/>
      <c r="BB865" s="97"/>
      <c r="BC865" s="97"/>
      <c r="BD865" s="97"/>
      <c r="BE865" s="97"/>
    </row>
    <row r="866" s="96" customFormat="1" customHeight="1" spans="1:57">
      <c r="A866" s="115" t="s">
        <v>7533</v>
      </c>
      <c r="B866" s="111" t="s">
        <v>7534</v>
      </c>
      <c r="C866" s="554" t="s">
        <v>7535</v>
      </c>
      <c r="D866" s="113" t="s">
        <v>7536</v>
      </c>
      <c r="E866" s="111">
        <v>13839476588</v>
      </c>
      <c r="F866" s="267">
        <v>1</v>
      </c>
      <c r="G866" s="268">
        <v>1588</v>
      </c>
      <c r="H866" s="274">
        <v>29.84</v>
      </c>
      <c r="I866" s="274" t="s">
        <v>2657</v>
      </c>
      <c r="J866" s="113" t="s">
        <v>7537</v>
      </c>
      <c r="K866" s="116">
        <v>29.25</v>
      </c>
      <c r="L866" s="266" t="s">
        <v>6427</v>
      </c>
      <c r="M866" s="266" t="s">
        <v>6427</v>
      </c>
      <c r="N866" s="113" t="s">
        <v>66</v>
      </c>
      <c r="O866" s="113"/>
      <c r="P866" s="113"/>
      <c r="Q866" s="113">
        <v>47799.49</v>
      </c>
      <c r="R866" s="113">
        <v>1398135</v>
      </c>
      <c r="S866" s="121">
        <v>708135</v>
      </c>
      <c r="T866" s="292">
        <f t="shared" si="273"/>
        <v>690000</v>
      </c>
      <c r="U866" s="113"/>
      <c r="V866" s="113"/>
      <c r="W866" s="113"/>
      <c r="X866" s="113"/>
      <c r="Y866" s="113"/>
      <c r="Z866" s="113"/>
      <c r="AA866" s="275"/>
      <c r="AB866" s="113"/>
      <c r="AC866" s="113"/>
      <c r="AD866" s="122"/>
      <c r="AE866" s="133"/>
      <c r="AF866" s="115"/>
      <c r="AG866" s="133"/>
      <c r="AH866" s="133"/>
      <c r="AI866" s="132">
        <f t="shared" si="277"/>
        <v>708135</v>
      </c>
      <c r="AJ866" s="132">
        <f t="shared" si="278"/>
        <v>708135</v>
      </c>
      <c r="AK866" s="133">
        <f t="shared" si="279"/>
        <v>0</v>
      </c>
      <c r="AL866" s="198"/>
      <c r="AM866" s="133" t="s">
        <v>886</v>
      </c>
      <c r="AN866" s="246">
        <v>44868</v>
      </c>
      <c r="AO866" s="137"/>
      <c r="AP866" s="97"/>
      <c r="AQ866" s="97"/>
      <c r="AR866" s="97"/>
      <c r="AS866" s="97"/>
      <c r="AT866" s="97"/>
      <c r="AU866" s="97"/>
      <c r="AV866" s="97"/>
      <c r="AW866" s="97"/>
      <c r="AX866" s="97"/>
      <c r="AY866" s="97"/>
      <c r="AZ866" s="97"/>
      <c r="BA866" s="97"/>
      <c r="BB866" s="97"/>
      <c r="BC866" s="97"/>
      <c r="BD866" s="97"/>
      <c r="BE866" s="97"/>
    </row>
    <row r="867" s="96" customFormat="1" customHeight="1" spans="1:57">
      <c r="A867" s="115" t="s">
        <v>7538</v>
      </c>
      <c r="B867" s="111" t="s">
        <v>7539</v>
      </c>
      <c r="C867" s="554" t="s">
        <v>7540</v>
      </c>
      <c r="D867" s="113" t="s">
        <v>7541</v>
      </c>
      <c r="E867" s="111">
        <v>18539400676</v>
      </c>
      <c r="F867" s="267">
        <v>3</v>
      </c>
      <c r="G867" s="268">
        <v>386</v>
      </c>
      <c r="H867" s="274">
        <v>29.47</v>
      </c>
      <c r="I867" s="274" t="s">
        <v>2665</v>
      </c>
      <c r="J867" s="113" t="s">
        <v>7542</v>
      </c>
      <c r="K867" s="116">
        <v>24.23</v>
      </c>
      <c r="L867" s="266" t="s">
        <v>2711</v>
      </c>
      <c r="M867" s="266"/>
      <c r="N867" s="113" t="s">
        <v>66</v>
      </c>
      <c r="O867" s="113"/>
      <c r="P867" s="113"/>
      <c r="Q867" s="113">
        <v>22994.3045810978</v>
      </c>
      <c r="R867" s="113">
        <v>557152</v>
      </c>
      <c r="S867" s="121">
        <v>287152</v>
      </c>
      <c r="T867" s="292">
        <f t="shared" si="273"/>
        <v>270000</v>
      </c>
      <c r="U867" s="113"/>
      <c r="V867" s="113"/>
      <c r="W867" s="113"/>
      <c r="X867" s="113"/>
      <c r="Y867" s="113"/>
      <c r="Z867" s="113"/>
      <c r="AA867" s="275"/>
      <c r="AB867" s="113"/>
      <c r="AC867" s="113"/>
      <c r="AD867" s="122"/>
      <c r="AE867" s="133"/>
      <c r="AF867" s="115"/>
      <c r="AG867" s="133"/>
      <c r="AH867" s="133"/>
      <c r="AI867" s="132">
        <f t="shared" si="277"/>
        <v>287152</v>
      </c>
      <c r="AJ867" s="132">
        <f t="shared" si="278"/>
        <v>287152</v>
      </c>
      <c r="AK867" s="133">
        <f t="shared" si="279"/>
        <v>0</v>
      </c>
      <c r="AL867" s="198"/>
      <c r="AM867" s="133" t="s">
        <v>886</v>
      </c>
      <c r="AN867" s="246">
        <v>44868</v>
      </c>
      <c r="AO867" s="137"/>
      <c r="AP867" s="97"/>
      <c r="AQ867" s="97"/>
      <c r="AR867" s="97"/>
      <c r="AS867" s="97"/>
      <c r="AT867" s="97"/>
      <c r="AU867" s="97"/>
      <c r="AV867" s="97"/>
      <c r="AW867" s="97"/>
      <c r="AX867" s="97"/>
      <c r="AY867" s="97"/>
      <c r="AZ867" s="97"/>
      <c r="BA867" s="97"/>
      <c r="BB867" s="97"/>
      <c r="BC867" s="97"/>
      <c r="BD867" s="97"/>
      <c r="BE867" s="97"/>
    </row>
    <row r="868" s="96" customFormat="1" customHeight="1" spans="1:57">
      <c r="A868" s="115" t="s">
        <v>7543</v>
      </c>
      <c r="B868" s="111" t="s">
        <v>7544</v>
      </c>
      <c r="C868" s="111" t="s">
        <v>7545</v>
      </c>
      <c r="D868" s="113" t="s">
        <v>7546</v>
      </c>
      <c r="E868" s="111" t="s">
        <v>7547</v>
      </c>
      <c r="F868" s="267">
        <v>1</v>
      </c>
      <c r="G868" s="268">
        <v>1574</v>
      </c>
      <c r="H868" s="274">
        <v>14.84</v>
      </c>
      <c r="I868" s="274" t="s">
        <v>2657</v>
      </c>
      <c r="J868" s="113" t="s">
        <v>7548</v>
      </c>
      <c r="K868" s="116">
        <v>33.81</v>
      </c>
      <c r="L868" s="266" t="s">
        <v>2890</v>
      </c>
      <c r="M868" s="266" t="s">
        <v>3911</v>
      </c>
      <c r="N868" s="113" t="s">
        <v>66</v>
      </c>
      <c r="O868" s="113"/>
      <c r="P868" s="113"/>
      <c r="Q868" s="113">
        <v>46731.74</v>
      </c>
      <c r="R868" s="113">
        <v>1580000</v>
      </c>
      <c r="S868" s="121">
        <v>790000</v>
      </c>
      <c r="T868" s="292">
        <f t="shared" si="273"/>
        <v>790000</v>
      </c>
      <c r="U868" s="113"/>
      <c r="V868" s="113"/>
      <c r="W868" s="113"/>
      <c r="X868" s="113"/>
      <c r="Y868" s="113"/>
      <c r="Z868" s="113"/>
      <c r="AA868" s="113"/>
      <c r="AB868" s="113"/>
      <c r="AC868" s="113"/>
      <c r="AD868" s="113"/>
      <c r="AE868" s="133"/>
      <c r="AF868" s="115"/>
      <c r="AG868" s="133"/>
      <c r="AH868" s="133"/>
      <c r="AI868" s="132">
        <f t="shared" si="277"/>
        <v>790000</v>
      </c>
      <c r="AJ868" s="132">
        <f t="shared" si="278"/>
        <v>790000</v>
      </c>
      <c r="AK868" s="133">
        <f t="shared" si="279"/>
        <v>0</v>
      </c>
      <c r="AL868" s="132"/>
      <c r="AM868" s="133" t="s">
        <v>900</v>
      </c>
      <c r="AN868" s="246">
        <v>44868</v>
      </c>
      <c r="AO868" s="137"/>
      <c r="AP868" s="97"/>
      <c r="AQ868" s="97"/>
      <c r="AR868" s="97"/>
      <c r="AS868" s="97"/>
      <c r="AT868" s="97"/>
      <c r="AU868" s="97"/>
      <c r="AV868" s="97"/>
      <c r="AW868" s="97"/>
      <c r="AX868" s="97"/>
      <c r="AY868" s="97"/>
      <c r="AZ868" s="97"/>
      <c r="BA868" s="97"/>
      <c r="BB868" s="97"/>
      <c r="BC868" s="97"/>
      <c r="BD868" s="97"/>
      <c r="BE868" s="97"/>
    </row>
    <row r="869" s="96" customFormat="1" customHeight="1" spans="1:57">
      <c r="A869" s="115" t="s">
        <v>7549</v>
      </c>
      <c r="B869" s="111" t="s">
        <v>7550</v>
      </c>
      <c r="C869" s="554" t="s">
        <v>7551</v>
      </c>
      <c r="D869" s="113" t="s">
        <v>7552</v>
      </c>
      <c r="E869" s="113">
        <v>15886796185</v>
      </c>
      <c r="F869" s="267">
        <v>1</v>
      </c>
      <c r="G869" s="268">
        <v>1661</v>
      </c>
      <c r="H869" s="274">
        <v>12.37</v>
      </c>
      <c r="I869" s="274" t="s">
        <v>2657</v>
      </c>
      <c r="J869" s="113" t="s">
        <v>7553</v>
      </c>
      <c r="K869" s="113">
        <v>12.68</v>
      </c>
      <c r="L869" s="266" t="s">
        <v>4587</v>
      </c>
      <c r="M869" s="266" t="s">
        <v>3211</v>
      </c>
      <c r="N869" s="113" t="s">
        <v>66</v>
      </c>
      <c r="O869" s="113"/>
      <c r="P869" s="113"/>
      <c r="Q869" s="113">
        <v>48116.09</v>
      </c>
      <c r="R869" s="113">
        <v>595196</v>
      </c>
      <c r="S869" s="121">
        <v>315196</v>
      </c>
      <c r="T869" s="121"/>
      <c r="U869" s="113">
        <v>280000</v>
      </c>
      <c r="V869" s="113">
        <v>804</v>
      </c>
      <c r="W869" s="113">
        <v>550</v>
      </c>
      <c r="X869" s="113"/>
      <c r="Y869" s="113" t="s">
        <v>2669</v>
      </c>
      <c r="Z869" s="113" t="s">
        <v>48</v>
      </c>
      <c r="AA869" s="305">
        <v>44020</v>
      </c>
      <c r="AB869" s="113"/>
      <c r="AC869" s="113"/>
      <c r="AD869" s="113"/>
      <c r="AE869" s="133"/>
      <c r="AF869" s="115"/>
      <c r="AG869" s="133"/>
      <c r="AH869" s="133"/>
      <c r="AI869" s="132">
        <f t="shared" si="277"/>
        <v>596550</v>
      </c>
      <c r="AJ869" s="132">
        <f t="shared" si="278"/>
        <v>596550</v>
      </c>
      <c r="AK869" s="133">
        <f t="shared" si="279"/>
        <v>0</v>
      </c>
      <c r="AL869" s="132"/>
      <c r="AM869" s="133" t="s">
        <v>900</v>
      </c>
      <c r="AN869" s="246">
        <v>44868</v>
      </c>
      <c r="AO869" s="137"/>
      <c r="AP869" s="97"/>
      <c r="AQ869" s="97"/>
      <c r="AR869" s="97"/>
      <c r="AS869" s="97"/>
      <c r="AT869" s="97"/>
      <c r="AU869" s="97"/>
      <c r="AV869" s="97"/>
      <c r="AW869" s="97"/>
      <c r="AX869" s="97"/>
      <c r="AY869" s="97"/>
      <c r="AZ869" s="97"/>
      <c r="BA869" s="97"/>
      <c r="BB869" s="97"/>
      <c r="BC869" s="97"/>
      <c r="BD869" s="97"/>
      <c r="BE869" s="97"/>
    </row>
    <row r="870" s="96" customFormat="1" customHeight="1" spans="1:57">
      <c r="A870" s="337" t="s">
        <v>7554</v>
      </c>
      <c r="B870" s="111" t="s">
        <v>7555</v>
      </c>
      <c r="C870" s="111" t="s">
        <v>7556</v>
      </c>
      <c r="D870" s="121" t="s">
        <v>7557</v>
      </c>
      <c r="E870" s="113">
        <v>18638595810</v>
      </c>
      <c r="F870" s="267">
        <v>3</v>
      </c>
      <c r="G870" s="268">
        <v>3302</v>
      </c>
      <c r="H870" s="274">
        <v>17.39</v>
      </c>
      <c r="I870" s="274" t="s">
        <v>2657</v>
      </c>
      <c r="J870" s="113" t="s">
        <v>7558</v>
      </c>
      <c r="K870" s="116">
        <v>15.65</v>
      </c>
      <c r="L870" s="266" t="s">
        <v>3911</v>
      </c>
      <c r="M870" s="266" t="s">
        <v>2928</v>
      </c>
      <c r="N870" s="113" t="s">
        <v>56</v>
      </c>
      <c r="O870" s="113"/>
      <c r="P870" s="113"/>
      <c r="Q870" s="113">
        <v>31124.92</v>
      </c>
      <c r="R870" s="113">
        <v>541262</v>
      </c>
      <c r="S870" s="121">
        <v>541262</v>
      </c>
      <c r="T870" s="292">
        <f t="shared" ref="T870:T933" si="280">R870-S870</f>
        <v>0</v>
      </c>
      <c r="U870" s="113"/>
      <c r="V870" s="113">
        <v>1130</v>
      </c>
      <c r="W870" s="113">
        <v>550</v>
      </c>
      <c r="X870" s="113"/>
      <c r="Y870" s="113" t="s">
        <v>2669</v>
      </c>
      <c r="Z870" s="113" t="s">
        <v>48</v>
      </c>
      <c r="AA870" s="304">
        <v>44067</v>
      </c>
      <c r="AB870" s="113" t="s">
        <v>7559</v>
      </c>
      <c r="AC870" s="113"/>
      <c r="AD870" s="113"/>
      <c r="AE870" s="133"/>
      <c r="AF870" s="115"/>
      <c r="AG870" s="133"/>
      <c r="AH870" s="133"/>
      <c r="AI870" s="132">
        <f t="shared" si="277"/>
        <v>542942</v>
      </c>
      <c r="AJ870" s="341"/>
      <c r="AK870" s="133">
        <f t="shared" si="279"/>
        <v>542942</v>
      </c>
      <c r="AL870" s="342" t="s">
        <v>6885</v>
      </c>
      <c r="AM870" s="133" t="s">
        <v>900</v>
      </c>
      <c r="AN870" s="246">
        <v>44868</v>
      </c>
      <c r="AO870" s="137"/>
      <c r="AP870" s="97"/>
      <c r="AQ870" s="97"/>
      <c r="AR870" s="97"/>
      <c r="AS870" s="97"/>
      <c r="AT870" s="97"/>
      <c r="AU870" s="97"/>
      <c r="AV870" s="97"/>
      <c r="AW870" s="97"/>
      <c r="AX870" s="97"/>
      <c r="AY870" s="97"/>
      <c r="AZ870" s="97"/>
      <c r="BA870" s="97"/>
      <c r="BB870" s="97"/>
      <c r="BC870" s="97"/>
      <c r="BD870" s="97"/>
      <c r="BE870" s="97"/>
    </row>
    <row r="871" s="96" customFormat="1" customHeight="1" spans="1:57">
      <c r="A871" s="115" t="s">
        <v>7560</v>
      </c>
      <c r="B871" s="111" t="s">
        <v>7561</v>
      </c>
      <c r="C871" s="111" t="s">
        <v>7562</v>
      </c>
      <c r="D871" s="121" t="s">
        <v>7563</v>
      </c>
      <c r="E871" s="113">
        <v>15137111770</v>
      </c>
      <c r="F871" s="267">
        <v>3</v>
      </c>
      <c r="G871" s="268">
        <v>3581</v>
      </c>
      <c r="H871" s="274">
        <v>12.98</v>
      </c>
      <c r="I871" s="274" t="s">
        <v>2657</v>
      </c>
      <c r="J871" s="113" t="s">
        <v>7564</v>
      </c>
      <c r="K871" s="113">
        <v>12.95</v>
      </c>
      <c r="L871" s="266" t="s">
        <v>2960</v>
      </c>
      <c r="M871" s="266" t="s">
        <v>2763</v>
      </c>
      <c r="N871" s="113" t="s">
        <v>66</v>
      </c>
      <c r="O871" s="113"/>
      <c r="P871" s="113"/>
      <c r="Q871" s="113">
        <v>31764.25</v>
      </c>
      <c r="R871" s="113">
        <v>412300</v>
      </c>
      <c r="S871" s="121">
        <v>212300</v>
      </c>
      <c r="T871" s="292">
        <f t="shared" si="280"/>
        <v>200000</v>
      </c>
      <c r="U871" s="113"/>
      <c r="V871" s="113">
        <v>843</v>
      </c>
      <c r="W871" s="113">
        <v>550</v>
      </c>
      <c r="X871" s="113"/>
      <c r="Y871" s="113"/>
      <c r="Z871" s="113"/>
      <c r="AA871" s="113"/>
      <c r="AB871" s="113"/>
      <c r="AC871" s="113"/>
      <c r="AD871" s="113"/>
      <c r="AE871" s="133"/>
      <c r="AF871" s="115"/>
      <c r="AG871" s="133"/>
      <c r="AH871" s="133"/>
      <c r="AI871" s="132">
        <f t="shared" si="277"/>
        <v>213693</v>
      </c>
      <c r="AJ871" s="132">
        <f>S871+U871+V871+W871+X871</f>
        <v>213693</v>
      </c>
      <c r="AK871" s="133">
        <f t="shared" si="279"/>
        <v>0</v>
      </c>
      <c r="AL871" s="132"/>
      <c r="AM871" s="133" t="s">
        <v>900</v>
      </c>
      <c r="AN871" s="246">
        <v>44868</v>
      </c>
      <c r="AO871" s="137"/>
      <c r="AP871" s="97"/>
      <c r="AQ871" s="97"/>
      <c r="AR871" s="97"/>
      <c r="AS871" s="97"/>
      <c r="AT871" s="97"/>
      <c r="AU871" s="97"/>
      <c r="AV871" s="97"/>
      <c r="AW871" s="97"/>
      <c r="AX871" s="97"/>
      <c r="AY871" s="97"/>
      <c r="AZ871" s="97"/>
      <c r="BA871" s="97"/>
      <c r="BB871" s="97"/>
      <c r="BC871" s="97"/>
      <c r="BD871" s="97"/>
      <c r="BE871" s="97"/>
    </row>
    <row r="872" s="96" customFormat="1" customHeight="1" spans="1:57">
      <c r="A872" s="115" t="s">
        <v>7565</v>
      </c>
      <c r="B872" s="296" t="s">
        <v>7566</v>
      </c>
      <c r="C872" s="556" t="s">
        <v>7567</v>
      </c>
      <c r="D872" s="267" t="s">
        <v>7568</v>
      </c>
      <c r="E872" s="267" t="s">
        <v>7569</v>
      </c>
      <c r="F872" s="267">
        <v>3</v>
      </c>
      <c r="G872" s="268">
        <v>381</v>
      </c>
      <c r="H872" s="274">
        <v>35.49</v>
      </c>
      <c r="I872" s="274" t="s">
        <v>2665</v>
      </c>
      <c r="J872" s="267" t="s">
        <v>7570</v>
      </c>
      <c r="K872" s="326">
        <v>35.5</v>
      </c>
      <c r="L872" s="268" t="s">
        <v>2711</v>
      </c>
      <c r="M872" s="268" t="s">
        <v>3387</v>
      </c>
      <c r="N872" s="267" t="s">
        <v>66</v>
      </c>
      <c r="O872" s="267"/>
      <c r="P872" s="267"/>
      <c r="Q872" s="274">
        <v>22629.32</v>
      </c>
      <c r="R872" s="267">
        <v>803341</v>
      </c>
      <c r="S872" s="292">
        <v>403341</v>
      </c>
      <c r="T872" s="292">
        <f t="shared" si="280"/>
        <v>400000</v>
      </c>
      <c r="U872" s="267"/>
      <c r="V872" s="267"/>
      <c r="W872" s="267"/>
      <c r="X872" s="267"/>
      <c r="Y872" s="267"/>
      <c r="Z872" s="267"/>
      <c r="AA872" s="267"/>
      <c r="AB872" s="267"/>
      <c r="AC872" s="113"/>
      <c r="AD872" s="113"/>
      <c r="AE872" s="133"/>
      <c r="AF872" s="115"/>
      <c r="AG872" s="133"/>
      <c r="AH872" s="133"/>
      <c r="AI872" s="132">
        <f t="shared" ref="AI872:AI883" si="281">S872+U872+V872+W872+X872+AC872+AD872+AE872</f>
        <v>403341</v>
      </c>
      <c r="AJ872" s="132">
        <f t="shared" ref="AJ872:AJ883" si="282">S872+U872+V872+W872+X872</f>
        <v>403341</v>
      </c>
      <c r="AK872" s="133">
        <f t="shared" ref="AK872:AK883" si="283">AI872-AJ872</f>
        <v>0</v>
      </c>
      <c r="AL872" s="132"/>
      <c r="AM872" s="133" t="s">
        <v>900</v>
      </c>
      <c r="AN872" s="246">
        <v>44868</v>
      </c>
      <c r="AO872" s="137"/>
      <c r="AP872" s="97"/>
      <c r="AQ872" s="97"/>
      <c r="AR872" s="97"/>
      <c r="AS872" s="97"/>
      <c r="AT872" s="97"/>
      <c r="AU872" s="97"/>
      <c r="AV872" s="97"/>
      <c r="AW872" s="97"/>
      <c r="AX872" s="97"/>
      <c r="AY872" s="97"/>
      <c r="AZ872" s="97"/>
      <c r="BA872" s="97"/>
      <c r="BB872" s="97"/>
      <c r="BC872" s="97"/>
      <c r="BD872" s="97"/>
      <c r="BE872" s="97"/>
    </row>
    <row r="873" s="96" customFormat="1" customHeight="1" spans="1:57">
      <c r="A873" s="115" t="s">
        <v>7571</v>
      </c>
      <c r="B873" s="111" t="s">
        <v>7572</v>
      </c>
      <c r="C873" s="111" t="s">
        <v>7573</v>
      </c>
      <c r="D873" s="121" t="s">
        <v>7574</v>
      </c>
      <c r="E873" s="113">
        <v>18395827078</v>
      </c>
      <c r="F873" s="267">
        <v>3</v>
      </c>
      <c r="G873" s="268">
        <v>3157</v>
      </c>
      <c r="H873" s="274">
        <v>23.13</v>
      </c>
      <c r="I873" s="274" t="s">
        <v>2657</v>
      </c>
      <c r="J873" s="113" t="s">
        <v>7575</v>
      </c>
      <c r="K873" s="116">
        <v>23.24</v>
      </c>
      <c r="L873" s="266" t="s">
        <v>3491</v>
      </c>
      <c r="M873" s="266" t="s">
        <v>3491</v>
      </c>
      <c r="N873" s="113" t="s">
        <v>56</v>
      </c>
      <c r="O873" s="113"/>
      <c r="P873" s="113"/>
      <c r="Q873" s="113">
        <v>30704.48</v>
      </c>
      <c r="R873" s="113">
        <v>713572</v>
      </c>
      <c r="S873" s="121">
        <v>713572</v>
      </c>
      <c r="T873" s="292">
        <f t="shared" si="280"/>
        <v>0</v>
      </c>
      <c r="U873" s="113"/>
      <c r="V873" s="113"/>
      <c r="W873" s="113"/>
      <c r="X873" s="113"/>
      <c r="Y873" s="113"/>
      <c r="Z873" s="113"/>
      <c r="AA873" s="113"/>
      <c r="AB873" s="113"/>
      <c r="AC873" s="113"/>
      <c r="AD873" s="113"/>
      <c r="AE873" s="133"/>
      <c r="AF873" s="115"/>
      <c r="AG873" s="133"/>
      <c r="AH873" s="133"/>
      <c r="AI873" s="132">
        <f t="shared" si="281"/>
        <v>713572</v>
      </c>
      <c r="AJ873" s="132">
        <f t="shared" si="282"/>
        <v>713572</v>
      </c>
      <c r="AK873" s="133">
        <f t="shared" si="283"/>
        <v>0</v>
      </c>
      <c r="AL873" s="132"/>
      <c r="AM873" s="133" t="s">
        <v>900</v>
      </c>
      <c r="AN873" s="246">
        <v>44868</v>
      </c>
      <c r="AO873" s="137"/>
      <c r="AP873" s="97"/>
      <c r="AQ873" s="97"/>
      <c r="AR873" s="97"/>
      <c r="AS873" s="97"/>
      <c r="AT873" s="97"/>
      <c r="AU873" s="97"/>
      <c r="AV873" s="97"/>
      <c r="AW873" s="97"/>
      <c r="AX873" s="97"/>
      <c r="AY873" s="97"/>
      <c r="AZ873" s="97"/>
      <c r="BA873" s="97"/>
      <c r="BB873" s="97"/>
      <c r="BC873" s="97"/>
      <c r="BD873" s="97"/>
      <c r="BE873" s="97"/>
    </row>
    <row r="874" s="96" customFormat="1" customHeight="1" spans="1:57">
      <c r="A874" s="115" t="s">
        <v>7576</v>
      </c>
      <c r="B874" s="111" t="s">
        <v>7577</v>
      </c>
      <c r="C874" s="111" t="s">
        <v>7578</v>
      </c>
      <c r="D874" s="113" t="s">
        <v>7579</v>
      </c>
      <c r="E874" s="113">
        <v>18501762675</v>
      </c>
      <c r="F874" s="267">
        <v>4</v>
      </c>
      <c r="G874" s="268">
        <v>4420</v>
      </c>
      <c r="H874" s="274">
        <v>9.83</v>
      </c>
      <c r="I874" s="274" t="s">
        <v>2657</v>
      </c>
      <c r="J874" s="113" t="s">
        <v>7580</v>
      </c>
      <c r="K874" s="113">
        <v>8.59</v>
      </c>
      <c r="L874" s="266" t="s">
        <v>5206</v>
      </c>
      <c r="M874" s="266" t="s">
        <v>7581</v>
      </c>
      <c r="N874" s="113" t="s">
        <v>56</v>
      </c>
      <c r="O874" s="113"/>
      <c r="P874" s="113"/>
      <c r="Q874" s="113">
        <v>27669.85</v>
      </c>
      <c r="R874" s="113">
        <v>271995</v>
      </c>
      <c r="S874" s="121">
        <v>271995</v>
      </c>
      <c r="T874" s="292">
        <f t="shared" si="280"/>
        <v>0</v>
      </c>
      <c r="U874" s="113"/>
      <c r="V874" s="113">
        <v>638</v>
      </c>
      <c r="W874" s="113">
        <v>550</v>
      </c>
      <c r="X874" s="113"/>
      <c r="Y874" s="113" t="s">
        <v>2669</v>
      </c>
      <c r="Z874" s="113"/>
      <c r="AA874" s="113"/>
      <c r="AB874" s="113"/>
      <c r="AC874" s="113"/>
      <c r="AD874" s="113"/>
      <c r="AE874" s="133"/>
      <c r="AF874" s="115"/>
      <c r="AG874" s="133"/>
      <c r="AH874" s="133"/>
      <c r="AI874" s="132">
        <f t="shared" si="281"/>
        <v>273183</v>
      </c>
      <c r="AJ874" s="132">
        <f t="shared" si="282"/>
        <v>273183</v>
      </c>
      <c r="AK874" s="133">
        <f t="shared" si="283"/>
        <v>0</v>
      </c>
      <c r="AL874" s="132"/>
      <c r="AM874" s="133" t="s">
        <v>900</v>
      </c>
      <c r="AN874" s="246">
        <v>44868</v>
      </c>
      <c r="AO874" s="137"/>
      <c r="AP874" s="97"/>
      <c r="AQ874" s="97"/>
      <c r="AR874" s="97"/>
      <c r="AS874" s="97"/>
      <c r="AT874" s="97"/>
      <c r="AU874" s="97"/>
      <c r="AV874" s="97"/>
      <c r="AW874" s="97"/>
      <c r="AX874" s="97"/>
      <c r="AY874" s="97"/>
      <c r="AZ874" s="97"/>
      <c r="BA874" s="97"/>
      <c r="BB874" s="97"/>
      <c r="BC874" s="97"/>
      <c r="BD874" s="97"/>
      <c r="BE874" s="97"/>
    </row>
    <row r="875" s="96" customFormat="1" customHeight="1" spans="1:57">
      <c r="A875" s="115" t="s">
        <v>7582</v>
      </c>
      <c r="B875" s="111" t="s">
        <v>7583</v>
      </c>
      <c r="C875" s="554" t="s">
        <v>7584</v>
      </c>
      <c r="D875" s="113" t="s">
        <v>7585</v>
      </c>
      <c r="E875" s="111">
        <v>13783697577</v>
      </c>
      <c r="F875" s="267">
        <v>4</v>
      </c>
      <c r="G875" s="268">
        <v>4468</v>
      </c>
      <c r="H875" s="274">
        <v>15.07</v>
      </c>
      <c r="I875" s="274" t="s">
        <v>2657</v>
      </c>
      <c r="J875" s="113" t="s">
        <v>7586</v>
      </c>
      <c r="K875" s="116">
        <v>13.39</v>
      </c>
      <c r="L875" s="266" t="s">
        <v>5737</v>
      </c>
      <c r="M875" s="266" t="s">
        <v>7587</v>
      </c>
      <c r="N875" s="113" t="s">
        <v>56</v>
      </c>
      <c r="O875" s="113"/>
      <c r="P875" s="113"/>
      <c r="Q875" s="113">
        <v>27127.78</v>
      </c>
      <c r="R875" s="113">
        <v>363241</v>
      </c>
      <c r="S875" s="121">
        <v>363241</v>
      </c>
      <c r="T875" s="292">
        <f t="shared" si="280"/>
        <v>0</v>
      </c>
      <c r="U875" s="113"/>
      <c r="V875" s="113"/>
      <c r="W875" s="113"/>
      <c r="X875" s="113"/>
      <c r="Y875" s="113"/>
      <c r="Z875" s="113"/>
      <c r="AA875" s="275"/>
      <c r="AB875" s="113"/>
      <c r="AC875" s="113"/>
      <c r="AD875" s="122"/>
      <c r="AE875" s="133"/>
      <c r="AF875" s="115"/>
      <c r="AG875" s="133"/>
      <c r="AH875" s="133"/>
      <c r="AI875" s="132">
        <f t="shared" si="281"/>
        <v>363241</v>
      </c>
      <c r="AJ875" s="132">
        <f t="shared" si="282"/>
        <v>363241</v>
      </c>
      <c r="AK875" s="133">
        <f t="shared" si="283"/>
        <v>0</v>
      </c>
      <c r="AL875" s="198"/>
      <c r="AM875" s="133" t="s">
        <v>886</v>
      </c>
      <c r="AN875" s="246">
        <v>44888</v>
      </c>
      <c r="AO875" s="137"/>
      <c r="AP875" s="97"/>
      <c r="AQ875" s="97"/>
      <c r="AR875" s="97"/>
      <c r="AS875" s="97"/>
      <c r="AT875" s="97"/>
      <c r="AU875" s="97"/>
      <c r="AV875" s="97"/>
      <c r="AW875" s="97"/>
      <c r="AX875" s="97"/>
      <c r="AY875" s="97"/>
      <c r="AZ875" s="97"/>
      <c r="BA875" s="97"/>
      <c r="BB875" s="97"/>
      <c r="BC875" s="97"/>
      <c r="BD875" s="97"/>
      <c r="BE875" s="97"/>
    </row>
    <row r="876" s="97" customFormat="1" customHeight="1" spans="1:41">
      <c r="A876" s="115" t="s">
        <v>7588</v>
      </c>
      <c r="B876" s="111" t="s">
        <v>7589</v>
      </c>
      <c r="C876" s="554" t="s">
        <v>7590</v>
      </c>
      <c r="D876" s="113" t="s">
        <v>7591</v>
      </c>
      <c r="E876" s="113">
        <v>13503825233</v>
      </c>
      <c r="F876" s="267">
        <v>4</v>
      </c>
      <c r="G876" s="268">
        <v>4258</v>
      </c>
      <c r="H876" s="274">
        <v>12.36</v>
      </c>
      <c r="I876" s="274" t="s">
        <v>2657</v>
      </c>
      <c r="J876" s="113" t="s">
        <v>7592</v>
      </c>
      <c r="K876" s="116">
        <v>11.56</v>
      </c>
      <c r="L876" s="266" t="s">
        <v>3016</v>
      </c>
      <c r="M876" s="266" t="s">
        <v>3060</v>
      </c>
      <c r="N876" s="113" t="s">
        <v>66</v>
      </c>
      <c r="O876" s="113"/>
      <c r="P876" s="113"/>
      <c r="Q876" s="113">
        <v>26287.72</v>
      </c>
      <c r="R876" s="113">
        <v>303886</v>
      </c>
      <c r="S876" s="121">
        <v>153886</v>
      </c>
      <c r="T876" s="292">
        <f t="shared" si="280"/>
        <v>150000</v>
      </c>
      <c r="U876" s="113"/>
      <c r="V876" s="113"/>
      <c r="W876" s="113"/>
      <c r="X876" s="113"/>
      <c r="Y876" s="113"/>
      <c r="Z876" s="113"/>
      <c r="AA876" s="113"/>
      <c r="AB876" s="113"/>
      <c r="AC876" s="113"/>
      <c r="AD876" s="113"/>
      <c r="AE876" s="133"/>
      <c r="AF876" s="115"/>
      <c r="AG876" s="133"/>
      <c r="AH876" s="133"/>
      <c r="AI876" s="132">
        <f t="shared" si="281"/>
        <v>153886</v>
      </c>
      <c r="AJ876" s="132">
        <f t="shared" si="282"/>
        <v>153886</v>
      </c>
      <c r="AK876" s="133">
        <f t="shared" si="283"/>
        <v>0</v>
      </c>
      <c r="AL876" s="132"/>
      <c r="AM876" s="133" t="s">
        <v>900</v>
      </c>
      <c r="AN876" s="246">
        <v>44868</v>
      </c>
      <c r="AO876" s="137"/>
    </row>
    <row r="877" s="97" customFormat="1" customHeight="1" spans="1:41">
      <c r="A877" s="115" t="s">
        <v>7593</v>
      </c>
      <c r="B877" s="111" t="s">
        <v>7594</v>
      </c>
      <c r="C877" s="111" t="s">
        <v>7595</v>
      </c>
      <c r="D877" s="113" t="s">
        <v>7596</v>
      </c>
      <c r="E877" s="113">
        <v>13607660323</v>
      </c>
      <c r="F877" s="267">
        <v>1</v>
      </c>
      <c r="G877" s="268">
        <v>1612</v>
      </c>
      <c r="H877" s="274">
        <v>15.4</v>
      </c>
      <c r="I877" s="274" t="s">
        <v>2657</v>
      </c>
      <c r="J877" s="113" t="s">
        <v>7597</v>
      </c>
      <c r="K877" s="116">
        <v>15.58</v>
      </c>
      <c r="L877" s="266" t="s">
        <v>4422</v>
      </c>
      <c r="M877" s="266" t="s">
        <v>4691</v>
      </c>
      <c r="N877" s="113" t="s">
        <v>56</v>
      </c>
      <c r="O877" s="113"/>
      <c r="P877" s="113"/>
      <c r="Q877" s="113">
        <v>47484.27</v>
      </c>
      <c r="R877" s="113">
        <v>731258</v>
      </c>
      <c r="S877" s="113">
        <v>731258</v>
      </c>
      <c r="T877" s="292">
        <f t="shared" si="280"/>
        <v>0</v>
      </c>
      <c r="U877" s="113"/>
      <c r="V877" s="113">
        <v>1001</v>
      </c>
      <c r="W877" s="113">
        <v>550</v>
      </c>
      <c r="X877" s="113">
        <v>6996</v>
      </c>
      <c r="Y877" s="113" t="s">
        <v>2669</v>
      </c>
      <c r="Z877" s="113" t="s">
        <v>48</v>
      </c>
      <c r="AA877" s="305">
        <v>44051</v>
      </c>
      <c r="AB877" s="113"/>
      <c r="AC877" s="113"/>
      <c r="AD877" s="113"/>
      <c r="AE877" s="133"/>
      <c r="AF877" s="115"/>
      <c r="AG877" s="133"/>
      <c r="AH877" s="133"/>
      <c r="AI877" s="132">
        <f t="shared" si="281"/>
        <v>739805</v>
      </c>
      <c r="AJ877" s="132">
        <f t="shared" si="282"/>
        <v>739805</v>
      </c>
      <c r="AK877" s="133">
        <f t="shared" si="283"/>
        <v>0</v>
      </c>
      <c r="AL877" s="132"/>
      <c r="AM877" s="133" t="s">
        <v>900</v>
      </c>
      <c r="AN877" s="246">
        <v>44868</v>
      </c>
      <c r="AO877" s="137"/>
    </row>
    <row r="878" s="97" customFormat="1" customHeight="1" spans="1:41">
      <c r="A878" s="115" t="s">
        <v>7598</v>
      </c>
      <c r="B878" s="111" t="s">
        <v>7599</v>
      </c>
      <c r="C878" s="111" t="s">
        <v>7600</v>
      </c>
      <c r="D878" s="121" t="s">
        <v>7601</v>
      </c>
      <c r="E878" s="113">
        <v>15838007616</v>
      </c>
      <c r="F878" s="267">
        <v>3</v>
      </c>
      <c r="G878" s="268">
        <v>3123</v>
      </c>
      <c r="H878" s="274">
        <v>16.59</v>
      </c>
      <c r="I878" s="274" t="s">
        <v>2657</v>
      </c>
      <c r="J878" s="113" t="s">
        <v>7602</v>
      </c>
      <c r="K878" s="116">
        <v>16.62</v>
      </c>
      <c r="L878" s="266" t="s">
        <v>6803</v>
      </c>
      <c r="M878" s="266" t="s">
        <v>7603</v>
      </c>
      <c r="N878" s="113" t="s">
        <v>66</v>
      </c>
      <c r="O878" s="113"/>
      <c r="P878" s="113"/>
      <c r="Q878" s="113">
        <v>31776.59</v>
      </c>
      <c r="R878" s="113">
        <v>527174</v>
      </c>
      <c r="S878" s="121">
        <v>267174</v>
      </c>
      <c r="T878" s="292">
        <f t="shared" si="280"/>
        <v>260000</v>
      </c>
      <c r="U878" s="113"/>
      <c r="V878" s="113">
        <v>1078</v>
      </c>
      <c r="W878" s="113">
        <v>550</v>
      </c>
      <c r="X878" s="113"/>
      <c r="Y878" s="113" t="s">
        <v>2669</v>
      </c>
      <c r="Z878" s="113" t="s">
        <v>48</v>
      </c>
      <c r="AA878" s="305">
        <v>44184</v>
      </c>
      <c r="AB878" s="113"/>
      <c r="AC878" s="113">
        <v>1246</v>
      </c>
      <c r="AD878" s="113"/>
      <c r="AE878" s="133"/>
      <c r="AF878" s="115"/>
      <c r="AG878" s="133"/>
      <c r="AH878" s="133"/>
      <c r="AI878" s="132">
        <f t="shared" si="281"/>
        <v>270048</v>
      </c>
      <c r="AJ878" s="132">
        <f t="shared" si="282"/>
        <v>268802</v>
      </c>
      <c r="AK878" s="133">
        <f t="shared" si="283"/>
        <v>1246</v>
      </c>
      <c r="AL878" s="132"/>
      <c r="AM878" s="133" t="s">
        <v>900</v>
      </c>
      <c r="AN878" s="246">
        <v>44868</v>
      </c>
      <c r="AO878" s="137"/>
    </row>
    <row r="879" s="254" customFormat="1" customHeight="1" spans="1:57">
      <c r="A879" s="115" t="s">
        <v>7604</v>
      </c>
      <c r="B879" s="296" t="s">
        <v>7605</v>
      </c>
      <c r="C879" s="556" t="s">
        <v>7606</v>
      </c>
      <c r="D879" s="267" t="s">
        <v>7607</v>
      </c>
      <c r="E879" s="267">
        <v>13663019127</v>
      </c>
      <c r="F879" s="267">
        <v>3</v>
      </c>
      <c r="G879" s="268">
        <v>370</v>
      </c>
      <c r="H879" s="274">
        <v>20.76</v>
      </c>
      <c r="I879" s="274" t="s">
        <v>2665</v>
      </c>
      <c r="J879" s="267" t="s">
        <v>7608</v>
      </c>
      <c r="K879" s="326">
        <v>24.13</v>
      </c>
      <c r="L879" s="268" t="s">
        <v>2711</v>
      </c>
      <c r="M879" s="268" t="s">
        <v>3772</v>
      </c>
      <c r="N879" s="267" t="s">
        <v>66</v>
      </c>
      <c r="O879" s="267"/>
      <c r="P879" s="267"/>
      <c r="Q879" s="274">
        <v>24089.3079154579</v>
      </c>
      <c r="R879" s="267">
        <v>500094</v>
      </c>
      <c r="S879" s="292">
        <v>250094</v>
      </c>
      <c r="T879" s="292">
        <f t="shared" si="280"/>
        <v>250000</v>
      </c>
      <c r="U879" s="267"/>
      <c r="V879" s="267">
        <v>1349</v>
      </c>
      <c r="W879" s="267">
        <v>550</v>
      </c>
      <c r="X879" s="267">
        <v>39282</v>
      </c>
      <c r="Y879" s="267"/>
      <c r="Z879" s="267"/>
      <c r="AA879" s="267"/>
      <c r="AB879" s="267"/>
      <c r="AC879" s="113"/>
      <c r="AD879" s="113"/>
      <c r="AE879" s="133"/>
      <c r="AF879" s="115"/>
      <c r="AG879" s="133"/>
      <c r="AH879" s="133"/>
      <c r="AI879" s="132">
        <f t="shared" si="281"/>
        <v>291275</v>
      </c>
      <c r="AJ879" s="132">
        <f t="shared" si="282"/>
        <v>291275</v>
      </c>
      <c r="AK879" s="133">
        <f t="shared" si="283"/>
        <v>0</v>
      </c>
      <c r="AL879" s="132"/>
      <c r="AM879" s="133" t="s">
        <v>900</v>
      </c>
      <c r="AN879" s="246">
        <v>44868</v>
      </c>
      <c r="AO879" s="137"/>
      <c r="AP879" s="97"/>
      <c r="AQ879" s="97"/>
      <c r="AR879" s="97"/>
      <c r="AS879" s="97"/>
      <c r="AT879" s="97"/>
      <c r="AU879" s="97"/>
      <c r="AV879" s="97"/>
      <c r="AW879" s="97"/>
      <c r="AX879" s="97"/>
      <c r="AY879" s="97"/>
      <c r="AZ879" s="97"/>
      <c r="BA879" s="97"/>
      <c r="BB879" s="97"/>
      <c r="BC879" s="97"/>
      <c r="BD879" s="97"/>
      <c r="BE879" s="97"/>
    </row>
    <row r="880" s="254" customFormat="1" customHeight="1" spans="1:57">
      <c r="A880" s="115" t="s">
        <v>7609</v>
      </c>
      <c r="B880" s="111" t="s">
        <v>7610</v>
      </c>
      <c r="C880" s="111" t="s">
        <v>7611</v>
      </c>
      <c r="D880" s="121" t="s">
        <v>7612</v>
      </c>
      <c r="E880" s="113" t="s">
        <v>7613</v>
      </c>
      <c r="F880" s="267">
        <v>3</v>
      </c>
      <c r="G880" s="268">
        <v>3208</v>
      </c>
      <c r="H880" s="274">
        <v>16.07</v>
      </c>
      <c r="I880" s="274" t="s">
        <v>2657</v>
      </c>
      <c r="J880" s="113" t="s">
        <v>7614</v>
      </c>
      <c r="K880" s="116">
        <v>18.74</v>
      </c>
      <c r="L880" s="266" t="s">
        <v>4670</v>
      </c>
      <c r="M880" s="266" t="s">
        <v>4559</v>
      </c>
      <c r="N880" s="113" t="s">
        <v>66</v>
      </c>
      <c r="O880" s="113"/>
      <c r="P880" s="113"/>
      <c r="Q880" s="113">
        <v>31632.82</v>
      </c>
      <c r="R880" s="113">
        <v>592799</v>
      </c>
      <c r="S880" s="121">
        <v>302799</v>
      </c>
      <c r="T880" s="292">
        <f t="shared" si="280"/>
        <v>290000</v>
      </c>
      <c r="U880" s="113"/>
      <c r="V880" s="113"/>
      <c r="W880" s="113"/>
      <c r="X880" s="113"/>
      <c r="Y880" s="113"/>
      <c r="Z880" s="113"/>
      <c r="AA880" s="113"/>
      <c r="AB880" s="113"/>
      <c r="AC880" s="113"/>
      <c r="AD880" s="113"/>
      <c r="AE880" s="133"/>
      <c r="AF880" s="115"/>
      <c r="AG880" s="133"/>
      <c r="AH880" s="133"/>
      <c r="AI880" s="132">
        <f t="shared" si="281"/>
        <v>302799</v>
      </c>
      <c r="AJ880" s="132">
        <f t="shared" si="282"/>
        <v>302799</v>
      </c>
      <c r="AK880" s="133">
        <f t="shared" si="283"/>
        <v>0</v>
      </c>
      <c r="AL880" s="132"/>
      <c r="AM880" s="133" t="s">
        <v>900</v>
      </c>
      <c r="AN880" s="246">
        <v>44868</v>
      </c>
      <c r="AO880" s="137"/>
      <c r="AP880" s="97"/>
      <c r="AQ880" s="97"/>
      <c r="AR880" s="97"/>
      <c r="AS880" s="97"/>
      <c r="AT880" s="97"/>
      <c r="AU880" s="97"/>
      <c r="AV880" s="97"/>
      <c r="AW880" s="97"/>
      <c r="AX880" s="97"/>
      <c r="AY880" s="97"/>
      <c r="AZ880" s="97"/>
      <c r="BA880" s="97"/>
      <c r="BB880" s="97"/>
      <c r="BC880" s="97"/>
      <c r="BD880" s="97"/>
      <c r="BE880" s="97"/>
    </row>
    <row r="881" s="97" customFormat="1" customHeight="1" spans="1:41">
      <c r="A881" s="115" t="s">
        <v>7615</v>
      </c>
      <c r="B881" s="111" t="s">
        <v>7616</v>
      </c>
      <c r="C881" s="111" t="s">
        <v>7617</v>
      </c>
      <c r="D881" s="121" t="s">
        <v>7618</v>
      </c>
      <c r="E881" s="113">
        <v>17537102109</v>
      </c>
      <c r="F881" s="267">
        <v>3</v>
      </c>
      <c r="G881" s="268">
        <v>3297</v>
      </c>
      <c r="H881" s="274">
        <v>11.82</v>
      </c>
      <c r="I881" s="274" t="s">
        <v>2657</v>
      </c>
      <c r="J881" s="113" t="s">
        <v>7619</v>
      </c>
      <c r="K881" s="116">
        <v>10.8</v>
      </c>
      <c r="L881" s="266" t="s">
        <v>4771</v>
      </c>
      <c r="M881" s="266" t="s">
        <v>4771</v>
      </c>
      <c r="N881" s="113" t="s">
        <v>66</v>
      </c>
      <c r="O881" s="113"/>
      <c r="P881" s="113"/>
      <c r="Q881" s="113">
        <v>33333.33</v>
      </c>
      <c r="R881" s="113">
        <v>360000</v>
      </c>
      <c r="S881" s="121">
        <v>180000</v>
      </c>
      <c r="T881" s="292">
        <f t="shared" si="280"/>
        <v>180000</v>
      </c>
      <c r="U881" s="113"/>
      <c r="V881" s="113"/>
      <c r="W881" s="113"/>
      <c r="X881" s="113"/>
      <c r="Y881" s="113"/>
      <c r="Z881" s="113"/>
      <c r="AA881" s="113"/>
      <c r="AB881" s="113"/>
      <c r="AC881" s="113"/>
      <c r="AD881" s="113"/>
      <c r="AE881" s="133"/>
      <c r="AF881" s="115"/>
      <c r="AG881" s="133"/>
      <c r="AH881" s="133"/>
      <c r="AI881" s="132">
        <f t="shared" si="281"/>
        <v>180000</v>
      </c>
      <c r="AJ881" s="132">
        <f t="shared" si="282"/>
        <v>180000</v>
      </c>
      <c r="AK881" s="133">
        <f t="shared" si="283"/>
        <v>0</v>
      </c>
      <c r="AL881" s="132"/>
      <c r="AM881" s="133" t="s">
        <v>900</v>
      </c>
      <c r="AN881" s="246">
        <v>44868</v>
      </c>
      <c r="AO881" s="137"/>
    </row>
    <row r="882" s="97" customFormat="1" customHeight="1" spans="1:41">
      <c r="A882" s="115" t="s">
        <v>7620</v>
      </c>
      <c r="B882" s="296" t="s">
        <v>7621</v>
      </c>
      <c r="C882" s="556" t="s">
        <v>7622</v>
      </c>
      <c r="D882" s="267" t="s">
        <v>7623</v>
      </c>
      <c r="E882" s="267">
        <v>18238110423</v>
      </c>
      <c r="F882" s="267">
        <v>2</v>
      </c>
      <c r="G882" s="268">
        <v>2125</v>
      </c>
      <c r="H882" s="274">
        <v>20.48</v>
      </c>
      <c r="I882" s="274" t="s">
        <v>2665</v>
      </c>
      <c r="J882" s="267" t="s">
        <v>7624</v>
      </c>
      <c r="K882" s="326">
        <v>22.5</v>
      </c>
      <c r="L882" s="268" t="s">
        <v>2711</v>
      </c>
      <c r="M882" s="268" t="s">
        <v>4257</v>
      </c>
      <c r="N882" s="267" t="s">
        <v>66</v>
      </c>
      <c r="O882" s="267"/>
      <c r="P882" s="267"/>
      <c r="Q882" s="274">
        <v>29984.98</v>
      </c>
      <c r="R882" s="267">
        <v>614092</v>
      </c>
      <c r="S882" s="292">
        <v>343092</v>
      </c>
      <c r="T882" s="292">
        <f t="shared" si="280"/>
        <v>271000</v>
      </c>
      <c r="U882" s="267"/>
      <c r="V882" s="267">
        <v>1331</v>
      </c>
      <c r="W882" s="267">
        <v>550</v>
      </c>
      <c r="X882" s="267"/>
      <c r="Y882" s="267"/>
      <c r="Z882" s="267"/>
      <c r="AA882" s="267"/>
      <c r="AB882" s="267"/>
      <c r="AC882" s="113"/>
      <c r="AD882" s="351"/>
      <c r="AE882" s="133"/>
      <c r="AF882" s="115"/>
      <c r="AG882" s="133"/>
      <c r="AH882" s="133"/>
      <c r="AI882" s="132">
        <f t="shared" si="281"/>
        <v>344973</v>
      </c>
      <c r="AJ882" s="132">
        <f t="shared" si="282"/>
        <v>344973</v>
      </c>
      <c r="AK882" s="133">
        <f t="shared" si="283"/>
        <v>0</v>
      </c>
      <c r="AL882" s="132"/>
      <c r="AM882" s="133" t="s">
        <v>900</v>
      </c>
      <c r="AN882" s="246">
        <v>44868</v>
      </c>
      <c r="AO882" s="137"/>
    </row>
    <row r="883" s="254" customFormat="1" customHeight="1" spans="1:57">
      <c r="A883" s="115" t="s">
        <v>7625</v>
      </c>
      <c r="B883" s="111" t="s">
        <v>7626</v>
      </c>
      <c r="C883" s="111" t="s">
        <v>7627</v>
      </c>
      <c r="D883" s="121" t="s">
        <v>7628</v>
      </c>
      <c r="E883" s="113">
        <v>13903718595</v>
      </c>
      <c r="F883" s="267">
        <v>3</v>
      </c>
      <c r="G883" s="268">
        <v>3105</v>
      </c>
      <c r="H883" s="274">
        <v>28</v>
      </c>
      <c r="I883" s="274" t="s">
        <v>2657</v>
      </c>
      <c r="J883" s="113" t="s">
        <v>7629</v>
      </c>
      <c r="K883" s="116">
        <v>24.89</v>
      </c>
      <c r="L883" s="266" t="s">
        <v>3073</v>
      </c>
      <c r="M883" s="266" t="s">
        <v>3074</v>
      </c>
      <c r="N883" s="113" t="s">
        <v>66</v>
      </c>
      <c r="O883" s="113"/>
      <c r="P883" s="113"/>
      <c r="Q883" s="113">
        <v>31622.34</v>
      </c>
      <c r="R883" s="113">
        <v>787080</v>
      </c>
      <c r="S883" s="121">
        <v>397080</v>
      </c>
      <c r="T883" s="292">
        <f t="shared" si="280"/>
        <v>390000</v>
      </c>
      <c r="U883" s="113"/>
      <c r="V883" s="113"/>
      <c r="W883" s="113"/>
      <c r="X883" s="113"/>
      <c r="Y883" s="113"/>
      <c r="Z883" s="113"/>
      <c r="AA883" s="113"/>
      <c r="AB883" s="113" t="s">
        <v>7630</v>
      </c>
      <c r="AC883" s="113"/>
      <c r="AD883" s="351"/>
      <c r="AE883" s="133"/>
      <c r="AF883" s="115"/>
      <c r="AG883" s="133"/>
      <c r="AH883" s="133"/>
      <c r="AI883" s="132">
        <f t="shared" si="281"/>
        <v>397080</v>
      </c>
      <c r="AJ883" s="132">
        <f t="shared" si="282"/>
        <v>397080</v>
      </c>
      <c r="AK883" s="133">
        <f t="shared" si="283"/>
        <v>0</v>
      </c>
      <c r="AL883" s="350" t="s">
        <v>7631</v>
      </c>
      <c r="AM883" s="133" t="s">
        <v>900</v>
      </c>
      <c r="AN883" s="246">
        <v>44868</v>
      </c>
      <c r="AO883" s="137"/>
      <c r="AP883" s="97"/>
      <c r="AQ883" s="97"/>
      <c r="AR883" s="97"/>
      <c r="AS883" s="97"/>
      <c r="AT883" s="97"/>
      <c r="AU883" s="97"/>
      <c r="AV883" s="97"/>
      <c r="AW883" s="97"/>
      <c r="AX883" s="97"/>
      <c r="AY883" s="97"/>
      <c r="AZ883" s="97"/>
      <c r="BA883" s="97"/>
      <c r="BB883" s="97"/>
      <c r="BC883" s="97"/>
      <c r="BD883" s="97"/>
      <c r="BE883" s="97"/>
    </row>
    <row r="884" s="97" customFormat="1" customHeight="1" spans="1:41">
      <c r="A884" s="115" t="s">
        <v>7632</v>
      </c>
      <c r="B884" s="111" t="s">
        <v>7633</v>
      </c>
      <c r="C884" s="111" t="s">
        <v>7634</v>
      </c>
      <c r="D884" s="121" t="s">
        <v>7628</v>
      </c>
      <c r="E884" s="113">
        <v>13903718595</v>
      </c>
      <c r="F884" s="267">
        <v>3</v>
      </c>
      <c r="G884" s="268">
        <v>3104</v>
      </c>
      <c r="H884" s="274">
        <v>27.22</v>
      </c>
      <c r="I884" s="274" t="s">
        <v>2657</v>
      </c>
      <c r="J884" s="113" t="s">
        <v>7635</v>
      </c>
      <c r="K884" s="116">
        <v>22.3</v>
      </c>
      <c r="L884" s="266" t="s">
        <v>3073</v>
      </c>
      <c r="M884" s="266" t="s">
        <v>3445</v>
      </c>
      <c r="N884" s="113" t="s">
        <v>66</v>
      </c>
      <c r="O884" s="113"/>
      <c r="P884" s="113"/>
      <c r="Q884" s="113">
        <v>31622.33</v>
      </c>
      <c r="R884" s="113">
        <v>705178</v>
      </c>
      <c r="S884" s="121">
        <v>355178</v>
      </c>
      <c r="T884" s="292">
        <f t="shared" si="280"/>
        <v>350000</v>
      </c>
      <c r="U884" s="113"/>
      <c r="V884" s="113"/>
      <c r="W884" s="113"/>
      <c r="X884" s="113"/>
      <c r="Y884" s="113"/>
      <c r="Z884" s="113"/>
      <c r="AA884" s="113"/>
      <c r="AB884" s="113"/>
      <c r="AC884" s="113"/>
      <c r="AD884" s="351"/>
      <c r="AE884" s="133"/>
      <c r="AF884" s="115"/>
      <c r="AG884" s="133"/>
      <c r="AH884" s="133"/>
      <c r="AI884" s="132">
        <f t="shared" ref="AI884:AI889" si="284">S884+U884+V884+W884+X884+AC884+AD884+AE884</f>
        <v>355178</v>
      </c>
      <c r="AJ884" s="132">
        <f t="shared" ref="AJ884:AJ889" si="285">S884+U884+V884+W884+X884</f>
        <v>355178</v>
      </c>
      <c r="AK884" s="133">
        <f t="shared" ref="AK884:AK889" si="286">AI884-AJ884</f>
        <v>0</v>
      </c>
      <c r="AL884" s="350" t="s">
        <v>7631</v>
      </c>
      <c r="AM884" s="133" t="s">
        <v>900</v>
      </c>
      <c r="AN884" s="246">
        <v>44868</v>
      </c>
      <c r="AO884" s="137"/>
    </row>
    <row r="885" s="97" customFormat="1" customHeight="1" spans="1:41">
      <c r="A885" s="115" t="s">
        <v>7636</v>
      </c>
      <c r="B885" s="111" t="s">
        <v>7637</v>
      </c>
      <c r="C885" s="111" t="s">
        <v>7638</v>
      </c>
      <c r="D885" s="113" t="s">
        <v>7639</v>
      </c>
      <c r="E885" s="113">
        <v>13837160441</v>
      </c>
      <c r="F885" s="267">
        <v>1</v>
      </c>
      <c r="G885" s="268">
        <v>1727</v>
      </c>
      <c r="H885" s="274">
        <v>18.85</v>
      </c>
      <c r="I885" s="274" t="s">
        <v>2657</v>
      </c>
      <c r="J885" s="113" t="s">
        <v>7640</v>
      </c>
      <c r="K885" s="113">
        <v>16.1</v>
      </c>
      <c r="L885" s="266" t="s">
        <v>6031</v>
      </c>
      <c r="M885" s="266" t="s">
        <v>3125</v>
      </c>
      <c r="N885" s="113" t="s">
        <v>66</v>
      </c>
      <c r="O885" s="113"/>
      <c r="P885" s="113"/>
      <c r="Q885" s="113">
        <v>48447.2</v>
      </c>
      <c r="R885" s="113">
        <v>780000</v>
      </c>
      <c r="S885" s="121">
        <v>390000</v>
      </c>
      <c r="T885" s="292">
        <f t="shared" si="280"/>
        <v>390000</v>
      </c>
      <c r="U885" s="113"/>
      <c r="V885" s="113"/>
      <c r="W885" s="113"/>
      <c r="X885" s="113"/>
      <c r="Y885" s="113"/>
      <c r="Z885" s="113"/>
      <c r="AA885" s="113"/>
      <c r="AB885" s="113"/>
      <c r="AC885" s="113"/>
      <c r="AD885" s="351"/>
      <c r="AE885" s="133"/>
      <c r="AF885" s="115"/>
      <c r="AG885" s="133"/>
      <c r="AH885" s="133"/>
      <c r="AI885" s="132">
        <f t="shared" si="284"/>
        <v>390000</v>
      </c>
      <c r="AJ885" s="132">
        <f t="shared" si="285"/>
        <v>390000</v>
      </c>
      <c r="AK885" s="133">
        <f t="shared" si="286"/>
        <v>0</v>
      </c>
      <c r="AL885" s="132"/>
      <c r="AM885" s="133" t="s">
        <v>900</v>
      </c>
      <c r="AN885" s="246">
        <v>44868</v>
      </c>
      <c r="AO885" s="137"/>
    </row>
    <row r="886" s="254" customFormat="1" customHeight="1" spans="1:57">
      <c r="A886" s="115" t="s">
        <v>7641</v>
      </c>
      <c r="B886" s="336" t="s">
        <v>7642</v>
      </c>
      <c r="C886" s="554" t="s">
        <v>7643</v>
      </c>
      <c r="D886" s="113" t="s">
        <v>7644</v>
      </c>
      <c r="E886" s="113">
        <v>18638506191</v>
      </c>
      <c r="F886" s="267">
        <v>1</v>
      </c>
      <c r="G886" s="268">
        <v>1315</v>
      </c>
      <c r="H886" s="274">
        <v>13.93</v>
      </c>
      <c r="I886" s="274" t="s">
        <v>2657</v>
      </c>
      <c r="J886" s="113" t="s">
        <v>7645</v>
      </c>
      <c r="K886" s="113">
        <v>14.1</v>
      </c>
      <c r="L886" s="266" t="s">
        <v>2676</v>
      </c>
      <c r="M886" s="266" t="s">
        <v>2835</v>
      </c>
      <c r="N886" s="113" t="s">
        <v>66</v>
      </c>
      <c r="O886" s="113"/>
      <c r="P886" s="113"/>
      <c r="Q886" s="113">
        <v>49645.39</v>
      </c>
      <c r="R886" s="113">
        <v>691560</v>
      </c>
      <c r="S886" s="121">
        <v>351560</v>
      </c>
      <c r="T886" s="292">
        <f t="shared" si="280"/>
        <v>340000</v>
      </c>
      <c r="U886" s="113"/>
      <c r="V886" s="113">
        <v>905</v>
      </c>
      <c r="W886" s="113">
        <v>550</v>
      </c>
      <c r="X886" s="113"/>
      <c r="Y886" s="113" t="s">
        <v>2669</v>
      </c>
      <c r="Z886" s="113"/>
      <c r="AA886" s="113"/>
      <c r="AB886" s="113"/>
      <c r="AC886" s="113">
        <v>1254</v>
      </c>
      <c r="AD886" s="351"/>
      <c r="AE886" s="133"/>
      <c r="AF886" s="115"/>
      <c r="AG886" s="133"/>
      <c r="AH886" s="133"/>
      <c r="AI886" s="132">
        <f t="shared" si="284"/>
        <v>354269</v>
      </c>
      <c r="AJ886" s="132">
        <f t="shared" si="285"/>
        <v>353015</v>
      </c>
      <c r="AK886" s="133">
        <f t="shared" si="286"/>
        <v>1254</v>
      </c>
      <c r="AL886" s="132"/>
      <c r="AM886" s="133" t="s">
        <v>900</v>
      </c>
      <c r="AN886" s="246">
        <v>44868</v>
      </c>
      <c r="AO886" s="137"/>
      <c r="AP886" s="97"/>
      <c r="AQ886" s="97"/>
      <c r="AR886" s="97"/>
      <c r="AS886" s="97"/>
      <c r="AT886" s="97"/>
      <c r="AU886" s="97"/>
      <c r="AV886" s="97"/>
      <c r="AW886" s="97"/>
      <c r="AX886" s="97"/>
      <c r="AY886" s="97"/>
      <c r="AZ886" s="97"/>
      <c r="BA886" s="97"/>
      <c r="BB886" s="97"/>
      <c r="BC886" s="97"/>
      <c r="BD886" s="97"/>
      <c r="BE886" s="97"/>
    </row>
    <row r="887" s="97" customFormat="1" customHeight="1" spans="1:41">
      <c r="A887" s="115" t="s">
        <v>7646</v>
      </c>
      <c r="B887" s="111" t="s">
        <v>7647</v>
      </c>
      <c r="C887" s="111" t="s">
        <v>7648</v>
      </c>
      <c r="D887" s="121" t="s">
        <v>7649</v>
      </c>
      <c r="E887" s="113">
        <v>13673665161</v>
      </c>
      <c r="F887" s="267">
        <v>3</v>
      </c>
      <c r="G887" s="268">
        <v>3287</v>
      </c>
      <c r="H887" s="274">
        <v>18.03</v>
      </c>
      <c r="I887" s="274" t="s">
        <v>2657</v>
      </c>
      <c r="J887" s="113" t="s">
        <v>7650</v>
      </c>
      <c r="K887" s="116">
        <v>16.7</v>
      </c>
      <c r="L887" s="266" t="s">
        <v>3073</v>
      </c>
      <c r="M887" s="266" t="s">
        <v>4879</v>
      </c>
      <c r="N887" s="113" t="s">
        <v>66</v>
      </c>
      <c r="O887" s="113"/>
      <c r="P887" s="113"/>
      <c r="Q887" s="113">
        <v>31458.8</v>
      </c>
      <c r="R887" s="113">
        <v>525362</v>
      </c>
      <c r="S887" s="121">
        <v>265362</v>
      </c>
      <c r="T887" s="292">
        <f t="shared" si="280"/>
        <v>260000</v>
      </c>
      <c r="U887" s="113"/>
      <c r="V887" s="113"/>
      <c r="W887" s="113"/>
      <c r="X887" s="113"/>
      <c r="Y887" s="113"/>
      <c r="Z887" s="113"/>
      <c r="AA887" s="113"/>
      <c r="AB887" s="113"/>
      <c r="AC887" s="113"/>
      <c r="AD887" s="351"/>
      <c r="AE887" s="133"/>
      <c r="AF887" s="115"/>
      <c r="AG887" s="133"/>
      <c r="AH887" s="133"/>
      <c r="AI887" s="132">
        <f t="shared" si="284"/>
        <v>265362</v>
      </c>
      <c r="AJ887" s="132">
        <f t="shared" si="285"/>
        <v>265362</v>
      </c>
      <c r="AK887" s="133">
        <f t="shared" si="286"/>
        <v>0</v>
      </c>
      <c r="AL887" s="132"/>
      <c r="AM887" s="133" t="s">
        <v>900</v>
      </c>
      <c r="AN887" s="246">
        <v>44868</v>
      </c>
      <c r="AO887" s="137"/>
    </row>
    <row r="888" s="97" customFormat="1" customHeight="1" spans="1:41">
      <c r="A888" s="337" t="s">
        <v>7651</v>
      </c>
      <c r="B888" s="111" t="s">
        <v>7652</v>
      </c>
      <c r="C888" s="111" t="s">
        <v>7653</v>
      </c>
      <c r="D888" s="121" t="s">
        <v>7654</v>
      </c>
      <c r="E888" s="113" t="s">
        <v>7655</v>
      </c>
      <c r="F888" s="267">
        <v>3</v>
      </c>
      <c r="G888" s="268">
        <v>3284</v>
      </c>
      <c r="H888" s="274">
        <v>18.03</v>
      </c>
      <c r="I888" s="274" t="s">
        <v>2657</v>
      </c>
      <c r="J888" s="113" t="s">
        <v>7656</v>
      </c>
      <c r="K888" s="116">
        <v>18.31</v>
      </c>
      <c r="L888" s="266" t="s">
        <v>4879</v>
      </c>
      <c r="M888" s="266" t="s">
        <v>4369</v>
      </c>
      <c r="N888" s="113" t="s">
        <v>66</v>
      </c>
      <c r="O888" s="113"/>
      <c r="P888" s="113"/>
      <c r="Q888" s="113">
        <v>32406.83</v>
      </c>
      <c r="R888" s="113">
        <v>593369</v>
      </c>
      <c r="S888" s="121">
        <v>303369</v>
      </c>
      <c r="T888" s="292">
        <f t="shared" si="280"/>
        <v>290000</v>
      </c>
      <c r="U888" s="113"/>
      <c r="V888" s="113"/>
      <c r="W888" s="113"/>
      <c r="X888" s="113"/>
      <c r="Y888" s="113"/>
      <c r="Z888" s="113"/>
      <c r="AA888" s="113"/>
      <c r="AB888" s="113"/>
      <c r="AC888" s="113"/>
      <c r="AD888" s="351"/>
      <c r="AE888" s="133"/>
      <c r="AF888" s="115"/>
      <c r="AG888" s="133"/>
      <c r="AH888" s="133"/>
      <c r="AI888" s="132">
        <f t="shared" si="284"/>
        <v>303369</v>
      </c>
      <c r="AJ888" s="341"/>
      <c r="AK888" s="133">
        <f t="shared" si="286"/>
        <v>303369</v>
      </c>
      <c r="AL888" s="342" t="s">
        <v>6885</v>
      </c>
      <c r="AM888" s="133" t="s">
        <v>900</v>
      </c>
      <c r="AN888" s="246">
        <v>44868</v>
      </c>
      <c r="AO888" s="137"/>
    </row>
    <row r="889" s="97" customFormat="1" customHeight="1" spans="1:41">
      <c r="A889" s="115" t="s">
        <v>7657</v>
      </c>
      <c r="B889" s="111" t="s">
        <v>7658</v>
      </c>
      <c r="C889" s="111" t="s">
        <v>7659</v>
      </c>
      <c r="D889" s="121" t="s">
        <v>7660</v>
      </c>
      <c r="E889" s="113" t="s">
        <v>7661</v>
      </c>
      <c r="F889" s="267">
        <v>3</v>
      </c>
      <c r="G889" s="268">
        <v>3134</v>
      </c>
      <c r="H889" s="274">
        <v>17.39</v>
      </c>
      <c r="I889" s="274" t="s">
        <v>2657</v>
      </c>
      <c r="J889" s="113" t="s">
        <v>7662</v>
      </c>
      <c r="K889" s="116">
        <v>15.89</v>
      </c>
      <c r="L889" s="266" t="s">
        <v>2659</v>
      </c>
      <c r="M889" s="266" t="s">
        <v>5064</v>
      </c>
      <c r="N889" s="113" t="s">
        <v>56</v>
      </c>
      <c r="O889" s="113"/>
      <c r="P889" s="113"/>
      <c r="Q889" s="113">
        <v>32085.16</v>
      </c>
      <c r="R889" s="113">
        <v>557961</v>
      </c>
      <c r="S889" s="121">
        <v>557961</v>
      </c>
      <c r="T889" s="292">
        <f t="shared" si="280"/>
        <v>0</v>
      </c>
      <c r="U889" s="113"/>
      <c r="V889" s="113">
        <v>1130</v>
      </c>
      <c r="W889" s="113">
        <v>550</v>
      </c>
      <c r="X889" s="113"/>
      <c r="Y889" s="113" t="s">
        <v>2669</v>
      </c>
      <c r="Z889" s="113" t="s">
        <v>48</v>
      </c>
      <c r="AA889" s="304">
        <v>44065</v>
      </c>
      <c r="AB889" s="113"/>
      <c r="AC889" s="113"/>
      <c r="AD889" s="351"/>
      <c r="AE889" s="133"/>
      <c r="AF889" s="115"/>
      <c r="AG889" s="133"/>
      <c r="AH889" s="133"/>
      <c r="AI889" s="132">
        <f t="shared" si="284"/>
        <v>559641</v>
      </c>
      <c r="AJ889" s="132">
        <f t="shared" si="285"/>
        <v>559641</v>
      </c>
      <c r="AK889" s="133">
        <f t="shared" si="286"/>
        <v>0</v>
      </c>
      <c r="AL889" s="132"/>
      <c r="AM889" s="133" t="s">
        <v>900</v>
      </c>
      <c r="AN889" s="246">
        <v>44868</v>
      </c>
      <c r="AO889" s="137"/>
    </row>
    <row r="890" s="97" customFormat="1" customHeight="1" spans="1:41">
      <c r="A890" s="115" t="s">
        <v>7663</v>
      </c>
      <c r="B890" s="111" t="s">
        <v>7664</v>
      </c>
      <c r="C890" s="554" t="s">
        <v>7665</v>
      </c>
      <c r="D890" s="113" t="s">
        <v>7666</v>
      </c>
      <c r="E890" s="113" t="s">
        <v>7667</v>
      </c>
      <c r="F890" s="267">
        <v>4</v>
      </c>
      <c r="G890" s="268">
        <v>4302</v>
      </c>
      <c r="H890" s="274">
        <v>14.97</v>
      </c>
      <c r="I890" s="274" t="s">
        <v>2657</v>
      </c>
      <c r="J890" s="113" t="s">
        <v>7668</v>
      </c>
      <c r="K890" s="116">
        <v>10.29</v>
      </c>
      <c r="L890" s="266" t="s">
        <v>3408</v>
      </c>
      <c r="M890" s="266" t="s">
        <v>2961</v>
      </c>
      <c r="N890" s="113" t="s">
        <v>56</v>
      </c>
      <c r="O890" s="113"/>
      <c r="P890" s="113"/>
      <c r="Q890" s="113">
        <v>25748.59</v>
      </c>
      <c r="R890" s="113">
        <v>264953</v>
      </c>
      <c r="S890" s="121">
        <v>264953</v>
      </c>
      <c r="T890" s="292">
        <f t="shared" si="280"/>
        <v>0</v>
      </c>
      <c r="U890" s="113"/>
      <c r="V890" s="113"/>
      <c r="W890" s="113"/>
      <c r="X890" s="113"/>
      <c r="Y890" s="113"/>
      <c r="Z890" s="113"/>
      <c r="AA890" s="113"/>
      <c r="AB890" s="113"/>
      <c r="AC890" s="113"/>
      <c r="AD890" s="351"/>
      <c r="AE890" s="133"/>
      <c r="AF890" s="115"/>
      <c r="AG890" s="133"/>
      <c r="AH890" s="133"/>
      <c r="AI890" s="132">
        <f t="shared" ref="AI890:AI895" si="287">S890+U890+V890+W890+X890+AC890+AD890+AE890</f>
        <v>264953</v>
      </c>
      <c r="AJ890" s="132">
        <f t="shared" ref="AJ890:AJ895" si="288">S890+U890+V890+W890+X890</f>
        <v>264953</v>
      </c>
      <c r="AK890" s="133">
        <f t="shared" ref="AK890:AK895" si="289">AI890-AJ890</f>
        <v>0</v>
      </c>
      <c r="AL890" s="132"/>
      <c r="AM890" s="133" t="s">
        <v>900</v>
      </c>
      <c r="AN890" s="246">
        <v>44868</v>
      </c>
      <c r="AO890" s="137"/>
    </row>
    <row r="891" s="254" customFormat="1" customHeight="1" spans="1:57">
      <c r="A891" s="115" t="s">
        <v>7669</v>
      </c>
      <c r="B891" s="296" t="s">
        <v>7670</v>
      </c>
      <c r="C891" s="296" t="s">
        <v>7671</v>
      </c>
      <c r="D891" s="292" t="s">
        <v>7672</v>
      </c>
      <c r="E891" s="267">
        <v>15637118806</v>
      </c>
      <c r="F891" s="267">
        <v>3</v>
      </c>
      <c r="G891" s="268">
        <v>3305</v>
      </c>
      <c r="H891" s="274">
        <v>18.39</v>
      </c>
      <c r="I891" s="274" t="s">
        <v>2657</v>
      </c>
      <c r="J891" s="267" t="s">
        <v>7673</v>
      </c>
      <c r="K891" s="274">
        <v>17.08</v>
      </c>
      <c r="L891" s="268" t="s">
        <v>3008</v>
      </c>
      <c r="M891" s="268" t="s">
        <v>5392</v>
      </c>
      <c r="N891" s="267" t="s">
        <v>66</v>
      </c>
      <c r="O891" s="267"/>
      <c r="P891" s="267"/>
      <c r="Q891" s="267">
        <v>32436.07</v>
      </c>
      <c r="R891" s="267">
        <v>596499</v>
      </c>
      <c r="S891" s="292">
        <v>306499</v>
      </c>
      <c r="T891" s="292">
        <f t="shared" si="280"/>
        <v>290000</v>
      </c>
      <c r="U891" s="267"/>
      <c r="V891" s="267">
        <v>1195</v>
      </c>
      <c r="W891" s="267">
        <v>560</v>
      </c>
      <c r="X891" s="267"/>
      <c r="Y891" s="267"/>
      <c r="Z891" s="267"/>
      <c r="AA891" s="267"/>
      <c r="AB891" s="267"/>
      <c r="AC891" s="113"/>
      <c r="AD891" s="351"/>
      <c r="AE891" s="133"/>
      <c r="AF891" s="115"/>
      <c r="AG891" s="133"/>
      <c r="AH891" s="133"/>
      <c r="AI891" s="132">
        <f t="shared" si="287"/>
        <v>308254</v>
      </c>
      <c r="AJ891" s="132">
        <f t="shared" si="288"/>
        <v>308254</v>
      </c>
      <c r="AK891" s="133">
        <f t="shared" si="289"/>
        <v>0</v>
      </c>
      <c r="AL891" s="132"/>
      <c r="AM891" s="133" t="s">
        <v>900</v>
      </c>
      <c r="AN891" s="246">
        <v>44868</v>
      </c>
      <c r="AO891" s="137"/>
      <c r="AP891" s="97"/>
      <c r="AQ891" s="97"/>
      <c r="AR891" s="97"/>
      <c r="AS891" s="97"/>
      <c r="AT891" s="97"/>
      <c r="AU891" s="97"/>
      <c r="AV891" s="97"/>
      <c r="AW891" s="97"/>
      <c r="AX891" s="97"/>
      <c r="AY891" s="97"/>
      <c r="AZ891" s="97"/>
      <c r="BA891" s="97"/>
      <c r="BB891" s="97"/>
      <c r="BC891" s="97"/>
      <c r="BD891" s="97"/>
      <c r="BE891" s="97"/>
    </row>
    <row r="892" s="97" customFormat="1" customHeight="1" spans="1:41">
      <c r="A892" s="115" t="s">
        <v>7674</v>
      </c>
      <c r="B892" s="111" t="s">
        <v>7675</v>
      </c>
      <c r="C892" s="111" t="s">
        <v>7676</v>
      </c>
      <c r="D892" s="121" t="s">
        <v>7677</v>
      </c>
      <c r="E892" s="113">
        <v>13503971818</v>
      </c>
      <c r="F892" s="267">
        <v>3</v>
      </c>
      <c r="G892" s="268">
        <v>3186</v>
      </c>
      <c r="H892" s="274">
        <v>17.39</v>
      </c>
      <c r="I892" s="274" t="s">
        <v>2657</v>
      </c>
      <c r="J892" s="113" t="s">
        <v>7678</v>
      </c>
      <c r="K892" s="116">
        <v>11.34</v>
      </c>
      <c r="L892" s="266" t="s">
        <v>3096</v>
      </c>
      <c r="M892" s="266" t="s">
        <v>3096</v>
      </c>
      <c r="N892" s="113" t="s">
        <v>66</v>
      </c>
      <c r="O892" s="113"/>
      <c r="P892" s="113"/>
      <c r="Q892" s="113">
        <v>31764.29</v>
      </c>
      <c r="R892" s="113">
        <v>360207</v>
      </c>
      <c r="S892" s="121">
        <v>180207</v>
      </c>
      <c r="T892" s="292">
        <f t="shared" si="280"/>
        <v>180000</v>
      </c>
      <c r="U892" s="113"/>
      <c r="V892" s="113"/>
      <c r="W892" s="113"/>
      <c r="X892" s="113"/>
      <c r="Y892" s="113"/>
      <c r="Z892" s="113"/>
      <c r="AA892" s="113"/>
      <c r="AB892" s="113"/>
      <c r="AC892" s="113"/>
      <c r="AD892" s="351"/>
      <c r="AE892" s="113">
        <v>36020</v>
      </c>
      <c r="AF892" s="115"/>
      <c r="AG892" s="133"/>
      <c r="AH892" s="133"/>
      <c r="AI892" s="132">
        <f t="shared" si="287"/>
        <v>216227</v>
      </c>
      <c r="AJ892" s="132">
        <f t="shared" si="288"/>
        <v>180207</v>
      </c>
      <c r="AK892" s="133">
        <f t="shared" si="289"/>
        <v>36020</v>
      </c>
      <c r="AL892" s="132" t="s">
        <v>7679</v>
      </c>
      <c r="AM892" s="133" t="s">
        <v>900</v>
      </c>
      <c r="AN892" s="246">
        <v>44886</v>
      </c>
      <c r="AO892" s="137"/>
    </row>
    <row r="893" s="254" customFormat="1" customHeight="1" spans="1:57">
      <c r="A893" s="115" t="s">
        <v>7680</v>
      </c>
      <c r="B893" s="111" t="s">
        <v>7675</v>
      </c>
      <c r="C893" s="111" t="s">
        <v>7676</v>
      </c>
      <c r="D893" s="121" t="s">
        <v>7677</v>
      </c>
      <c r="E893" s="113">
        <v>13503971818</v>
      </c>
      <c r="F893" s="267">
        <v>3</v>
      </c>
      <c r="G893" s="268">
        <v>3187</v>
      </c>
      <c r="H893" s="274">
        <v>17.18</v>
      </c>
      <c r="I893" s="274" t="s">
        <v>2657</v>
      </c>
      <c r="J893" s="113" t="s">
        <v>7681</v>
      </c>
      <c r="K893" s="116">
        <v>10.07</v>
      </c>
      <c r="L893" s="266" t="s">
        <v>3096</v>
      </c>
      <c r="M893" s="266" t="s">
        <v>3096</v>
      </c>
      <c r="N893" s="113" t="s">
        <v>66</v>
      </c>
      <c r="O893" s="113"/>
      <c r="P893" s="113"/>
      <c r="Q893" s="113">
        <v>31764.25</v>
      </c>
      <c r="R893" s="113">
        <v>319866</v>
      </c>
      <c r="S893" s="121">
        <v>169866</v>
      </c>
      <c r="T893" s="292">
        <f t="shared" si="280"/>
        <v>150000</v>
      </c>
      <c r="U893" s="113"/>
      <c r="V893" s="113"/>
      <c r="W893" s="113"/>
      <c r="X893" s="113"/>
      <c r="Y893" s="113"/>
      <c r="Z893" s="113"/>
      <c r="AA893" s="113"/>
      <c r="AB893" s="113"/>
      <c r="AC893" s="113"/>
      <c r="AD893" s="351"/>
      <c r="AE893" s="113">
        <v>31986</v>
      </c>
      <c r="AF893" s="115"/>
      <c r="AG893" s="133"/>
      <c r="AH893" s="133"/>
      <c r="AI893" s="132">
        <f t="shared" si="287"/>
        <v>201852</v>
      </c>
      <c r="AJ893" s="132">
        <f t="shared" si="288"/>
        <v>169866</v>
      </c>
      <c r="AK893" s="133">
        <f t="shared" si="289"/>
        <v>31986</v>
      </c>
      <c r="AL893" s="132" t="s">
        <v>7682</v>
      </c>
      <c r="AM893" s="133" t="s">
        <v>900</v>
      </c>
      <c r="AN893" s="246">
        <v>44886</v>
      </c>
      <c r="AO893" s="137"/>
      <c r="AP893" s="97"/>
      <c r="AQ893" s="97"/>
      <c r="AR893" s="97"/>
      <c r="AS893" s="97"/>
      <c r="AT893" s="97"/>
      <c r="AU893" s="97"/>
      <c r="AV893" s="97"/>
      <c r="AW893" s="97"/>
      <c r="AX893" s="97"/>
      <c r="AY893" s="97"/>
      <c r="AZ893" s="97"/>
      <c r="BA893" s="97"/>
      <c r="BB893" s="97"/>
      <c r="BC893" s="97"/>
      <c r="BD893" s="97"/>
      <c r="BE893" s="97"/>
    </row>
    <row r="894" s="97" customFormat="1" customHeight="1" spans="1:41">
      <c r="A894" s="115" t="s">
        <v>7683</v>
      </c>
      <c r="B894" s="111" t="s">
        <v>7684</v>
      </c>
      <c r="C894" s="111" t="s">
        <v>7685</v>
      </c>
      <c r="D894" s="121" t="s">
        <v>7686</v>
      </c>
      <c r="E894" s="113">
        <v>18339135831</v>
      </c>
      <c r="F894" s="267">
        <v>3</v>
      </c>
      <c r="G894" s="268">
        <v>3489</v>
      </c>
      <c r="H894" s="274">
        <v>20.61</v>
      </c>
      <c r="I894" s="274" t="s">
        <v>2657</v>
      </c>
      <c r="J894" s="113" t="s">
        <v>7687</v>
      </c>
      <c r="K894" s="113">
        <v>19.15</v>
      </c>
      <c r="L894" s="266" t="s">
        <v>7688</v>
      </c>
      <c r="M894" s="266" t="s">
        <v>4728</v>
      </c>
      <c r="N894" s="113" t="s">
        <v>66</v>
      </c>
      <c r="O894" s="113"/>
      <c r="P894" s="113"/>
      <c r="Q894" s="113">
        <v>31013</v>
      </c>
      <c r="R894" s="113">
        <v>593899</v>
      </c>
      <c r="S894" s="121">
        <v>303899</v>
      </c>
      <c r="T894" s="292">
        <f t="shared" si="280"/>
        <v>290000</v>
      </c>
      <c r="U894" s="113"/>
      <c r="V894" s="113"/>
      <c r="W894" s="113"/>
      <c r="X894" s="113"/>
      <c r="Y894" s="113"/>
      <c r="Z894" s="113"/>
      <c r="AA894" s="113"/>
      <c r="AB894" s="113"/>
      <c r="AC894" s="113"/>
      <c r="AD894" s="351"/>
      <c r="AE894" s="133"/>
      <c r="AF894" s="115"/>
      <c r="AG894" s="133"/>
      <c r="AH894" s="133"/>
      <c r="AI894" s="132">
        <f t="shared" ref="AI894:AI908" si="290">S894+U894+V894+W894+X894+AC894+AD894+AE894</f>
        <v>303899</v>
      </c>
      <c r="AJ894" s="132">
        <f t="shared" ref="AJ894:AJ908" si="291">S894+U894+V894+W894+X894</f>
        <v>303899</v>
      </c>
      <c r="AK894" s="133">
        <f t="shared" ref="AK894:AK908" si="292">AI894-AJ894</f>
        <v>0</v>
      </c>
      <c r="AL894" s="132"/>
      <c r="AM894" s="133" t="s">
        <v>900</v>
      </c>
      <c r="AN894" s="246">
        <v>44886</v>
      </c>
      <c r="AO894" s="137"/>
    </row>
    <row r="895" s="97" customFormat="1" customHeight="1" spans="1:41">
      <c r="A895" s="115" t="s">
        <v>7689</v>
      </c>
      <c r="B895" s="111" t="s">
        <v>7690</v>
      </c>
      <c r="C895" s="111" t="s">
        <v>7691</v>
      </c>
      <c r="D895" s="121"/>
      <c r="E895" s="113">
        <v>15138068255</v>
      </c>
      <c r="F895" s="267">
        <v>3</v>
      </c>
      <c r="G895" s="268">
        <v>3488</v>
      </c>
      <c r="H895" s="274">
        <v>21.25</v>
      </c>
      <c r="I895" s="274" t="s">
        <v>2657</v>
      </c>
      <c r="J895" s="113" t="s">
        <v>7692</v>
      </c>
      <c r="K895" s="113">
        <v>19.53</v>
      </c>
      <c r="L895" s="266" t="s">
        <v>7688</v>
      </c>
      <c r="M895" s="266" t="s">
        <v>4728</v>
      </c>
      <c r="N895" s="113" t="s">
        <v>66</v>
      </c>
      <c r="O895" s="113"/>
      <c r="P895" s="113"/>
      <c r="Q895" s="113">
        <v>31310.04</v>
      </c>
      <c r="R895" s="113">
        <v>611485</v>
      </c>
      <c r="S895" s="121">
        <v>311485</v>
      </c>
      <c r="T895" s="292">
        <f t="shared" si="280"/>
        <v>300000</v>
      </c>
      <c r="U895" s="113"/>
      <c r="V895" s="113"/>
      <c r="W895" s="113"/>
      <c r="X895" s="113"/>
      <c r="Y895" s="113"/>
      <c r="Z895" s="113"/>
      <c r="AA895" s="113"/>
      <c r="AB895" s="113"/>
      <c r="AC895" s="113"/>
      <c r="AD895" s="351"/>
      <c r="AE895" s="133"/>
      <c r="AF895" s="115"/>
      <c r="AG895" s="133"/>
      <c r="AH895" s="133"/>
      <c r="AI895" s="132">
        <f t="shared" si="290"/>
        <v>311485</v>
      </c>
      <c r="AJ895" s="132">
        <f t="shared" si="291"/>
        <v>311485</v>
      </c>
      <c r="AK895" s="133">
        <f t="shared" si="292"/>
        <v>0</v>
      </c>
      <c r="AL895" s="132"/>
      <c r="AM895" s="133" t="s">
        <v>900</v>
      </c>
      <c r="AN895" s="246">
        <v>44886</v>
      </c>
      <c r="AO895" s="137"/>
    </row>
    <row r="896" s="254" customFormat="1" customHeight="1" spans="1:57">
      <c r="A896" s="115" t="s">
        <v>7693</v>
      </c>
      <c r="B896" s="111" t="s">
        <v>2285</v>
      </c>
      <c r="C896" s="111" t="s">
        <v>7694</v>
      </c>
      <c r="D896" s="121" t="s">
        <v>7695</v>
      </c>
      <c r="E896" s="113">
        <v>15037726886</v>
      </c>
      <c r="F896" s="267">
        <v>3</v>
      </c>
      <c r="G896" s="268">
        <v>3773</v>
      </c>
      <c r="H896" s="274">
        <v>15.99</v>
      </c>
      <c r="I896" s="274" t="s">
        <v>2657</v>
      </c>
      <c r="J896" s="113" t="s">
        <v>7696</v>
      </c>
      <c r="K896" s="113">
        <v>13.95</v>
      </c>
      <c r="L896" s="266" t="s">
        <v>2868</v>
      </c>
      <c r="M896" s="266" t="s">
        <v>2763</v>
      </c>
      <c r="N896" s="113" t="s">
        <v>66</v>
      </c>
      <c r="O896" s="113"/>
      <c r="P896" s="113"/>
      <c r="Q896" s="113">
        <v>31894.93</v>
      </c>
      <c r="R896" s="113">
        <v>510000</v>
      </c>
      <c r="S896" s="121">
        <v>260000</v>
      </c>
      <c r="T896" s="292">
        <f t="shared" si="280"/>
        <v>250000</v>
      </c>
      <c r="U896" s="113"/>
      <c r="V896" s="113">
        <v>1039</v>
      </c>
      <c r="W896" s="113">
        <v>550</v>
      </c>
      <c r="X896" s="113"/>
      <c r="Y896" s="113" t="s">
        <v>2669</v>
      </c>
      <c r="Z896" s="113"/>
      <c r="AA896" s="113"/>
      <c r="AB896" s="113"/>
      <c r="AC896" s="113"/>
      <c r="AD896" s="351"/>
      <c r="AE896" s="133"/>
      <c r="AF896" s="115"/>
      <c r="AG896" s="133"/>
      <c r="AH896" s="133"/>
      <c r="AI896" s="132">
        <f t="shared" si="290"/>
        <v>261589</v>
      </c>
      <c r="AJ896" s="132">
        <f t="shared" si="291"/>
        <v>261589</v>
      </c>
      <c r="AK896" s="133">
        <f t="shared" si="292"/>
        <v>0</v>
      </c>
      <c r="AL896" s="132"/>
      <c r="AM896" s="133" t="s">
        <v>900</v>
      </c>
      <c r="AN896" s="246">
        <v>44886</v>
      </c>
      <c r="AO896" s="137"/>
      <c r="AP896" s="97"/>
      <c r="AQ896" s="97"/>
      <c r="AR896" s="97"/>
      <c r="AS896" s="97"/>
      <c r="AT896" s="97"/>
      <c r="AU896" s="97"/>
      <c r="AV896" s="97"/>
      <c r="AW896" s="97"/>
      <c r="AX896" s="97"/>
      <c r="AY896" s="97"/>
      <c r="AZ896" s="97"/>
      <c r="BA896" s="97"/>
      <c r="BB896" s="97"/>
      <c r="BC896" s="97"/>
      <c r="BD896" s="97"/>
      <c r="BE896" s="97"/>
    </row>
    <row r="897" s="97" customFormat="1" customHeight="1" spans="1:41">
      <c r="A897" s="115" t="s">
        <v>7697</v>
      </c>
      <c r="B897" s="111" t="s">
        <v>7698</v>
      </c>
      <c r="C897" s="111" t="s">
        <v>7699</v>
      </c>
      <c r="D897" s="121" t="s">
        <v>7700</v>
      </c>
      <c r="E897" s="113">
        <v>18530911064</v>
      </c>
      <c r="F897" s="267">
        <v>3</v>
      </c>
      <c r="G897" s="268">
        <v>3735</v>
      </c>
      <c r="H897" s="274">
        <v>15.45</v>
      </c>
      <c r="I897" s="274" t="s">
        <v>2657</v>
      </c>
      <c r="J897" s="113" t="s">
        <v>7701</v>
      </c>
      <c r="K897" s="113">
        <v>15.03</v>
      </c>
      <c r="L897" s="266" t="s">
        <v>2762</v>
      </c>
      <c r="M897" s="266" t="s">
        <v>3571</v>
      </c>
      <c r="N897" s="113" t="s">
        <v>66</v>
      </c>
      <c r="O897" s="113"/>
      <c r="P897" s="113"/>
      <c r="Q897" s="113">
        <v>32167.33</v>
      </c>
      <c r="R897" s="113">
        <v>483475</v>
      </c>
      <c r="S897" s="121">
        <v>243475</v>
      </c>
      <c r="T897" s="292">
        <f t="shared" si="280"/>
        <v>240000</v>
      </c>
      <c r="U897" s="113"/>
      <c r="V897" s="113"/>
      <c r="W897" s="113"/>
      <c r="X897" s="113"/>
      <c r="Y897" s="113"/>
      <c r="Z897" s="113"/>
      <c r="AA897" s="113"/>
      <c r="AB897" s="113"/>
      <c r="AC897" s="113"/>
      <c r="AD897" s="351"/>
      <c r="AE897" s="133"/>
      <c r="AF897" s="115"/>
      <c r="AG897" s="133"/>
      <c r="AH897" s="133"/>
      <c r="AI897" s="132">
        <f t="shared" si="290"/>
        <v>243475</v>
      </c>
      <c r="AJ897" s="132">
        <f t="shared" si="291"/>
        <v>243475</v>
      </c>
      <c r="AK897" s="133">
        <f t="shared" si="292"/>
        <v>0</v>
      </c>
      <c r="AL897" s="132"/>
      <c r="AM897" s="133" t="s">
        <v>900</v>
      </c>
      <c r="AN897" s="246">
        <v>44886</v>
      </c>
      <c r="AO897" s="137"/>
    </row>
    <row r="898" s="97" customFormat="1" customHeight="1" spans="1:41">
      <c r="A898" s="115" t="s">
        <v>7702</v>
      </c>
      <c r="B898" s="111" t="s">
        <v>7703</v>
      </c>
      <c r="C898" s="111" t="s">
        <v>7704</v>
      </c>
      <c r="D898" s="121" t="s">
        <v>7705</v>
      </c>
      <c r="E898" s="113">
        <v>18337209726</v>
      </c>
      <c r="F898" s="267">
        <v>3</v>
      </c>
      <c r="G898" s="268">
        <v>3106</v>
      </c>
      <c r="H898" s="274">
        <v>27.66</v>
      </c>
      <c r="I898" s="274" t="s">
        <v>2657</v>
      </c>
      <c r="J898" s="113" t="s">
        <v>7706</v>
      </c>
      <c r="K898" s="116">
        <v>25.42</v>
      </c>
      <c r="L898" s="266" t="s">
        <v>2807</v>
      </c>
      <c r="M898" s="266" t="s">
        <v>2807</v>
      </c>
      <c r="N898" s="113" t="s">
        <v>56</v>
      </c>
      <c r="O898" s="113"/>
      <c r="P898" s="113"/>
      <c r="Q898" s="113">
        <v>30291.11</v>
      </c>
      <c r="R898" s="113">
        <v>770000</v>
      </c>
      <c r="S898" s="121">
        <v>770000</v>
      </c>
      <c r="T898" s="292">
        <f t="shared" si="280"/>
        <v>0</v>
      </c>
      <c r="U898" s="113"/>
      <c r="V898" s="113"/>
      <c r="W898" s="113"/>
      <c r="X898" s="113"/>
      <c r="Y898" s="113"/>
      <c r="Z898" s="113"/>
      <c r="AA898" s="113"/>
      <c r="AB898" s="113"/>
      <c r="AC898" s="113"/>
      <c r="AD898" s="351"/>
      <c r="AE898" s="133"/>
      <c r="AF898" s="115"/>
      <c r="AG898" s="133"/>
      <c r="AH898" s="133"/>
      <c r="AI898" s="132">
        <f t="shared" si="290"/>
        <v>770000</v>
      </c>
      <c r="AJ898" s="132">
        <f t="shared" si="291"/>
        <v>770000</v>
      </c>
      <c r="AK898" s="133">
        <f t="shared" si="292"/>
        <v>0</v>
      </c>
      <c r="AL898" s="132"/>
      <c r="AM898" s="133" t="s">
        <v>900</v>
      </c>
      <c r="AN898" s="246">
        <v>44886</v>
      </c>
      <c r="AO898" s="137"/>
    </row>
    <row r="899" s="254" customFormat="1" customHeight="1" spans="1:41">
      <c r="A899" s="115" t="s">
        <v>7707</v>
      </c>
      <c r="B899" s="111" t="s">
        <v>7708</v>
      </c>
      <c r="C899" s="111" t="s">
        <v>7709</v>
      </c>
      <c r="D899" s="121" t="s">
        <v>7710</v>
      </c>
      <c r="E899" s="113">
        <v>13569206737</v>
      </c>
      <c r="F899" s="267">
        <v>3</v>
      </c>
      <c r="G899" s="268">
        <v>3774</v>
      </c>
      <c r="H899" s="274">
        <v>15.99</v>
      </c>
      <c r="I899" s="274" t="s">
        <v>2657</v>
      </c>
      <c r="J899" s="113" t="s">
        <v>7711</v>
      </c>
      <c r="K899" s="113">
        <v>15.06</v>
      </c>
      <c r="L899" s="266" t="s">
        <v>2868</v>
      </c>
      <c r="M899" s="266" t="s">
        <v>2763</v>
      </c>
      <c r="N899" s="113" t="s">
        <v>56</v>
      </c>
      <c r="O899" s="113"/>
      <c r="P899" s="113"/>
      <c r="Q899" s="113">
        <v>31269.54</v>
      </c>
      <c r="R899" s="113">
        <v>500000</v>
      </c>
      <c r="S899" s="121">
        <v>500000</v>
      </c>
      <c r="T899" s="292">
        <f t="shared" si="280"/>
        <v>0</v>
      </c>
      <c r="U899" s="113"/>
      <c r="V899" s="113">
        <v>1039</v>
      </c>
      <c r="W899" s="113">
        <v>550</v>
      </c>
      <c r="X899" s="113"/>
      <c r="Y899" s="113" t="s">
        <v>2669</v>
      </c>
      <c r="Z899" s="113" t="s">
        <v>48</v>
      </c>
      <c r="AA899" s="304">
        <v>44024</v>
      </c>
      <c r="AB899" s="113"/>
      <c r="AC899" s="113"/>
      <c r="AD899" s="351"/>
      <c r="AE899" s="133"/>
      <c r="AF899" s="115"/>
      <c r="AG899" s="133"/>
      <c r="AH899" s="133"/>
      <c r="AI899" s="132">
        <f t="shared" si="290"/>
        <v>501589</v>
      </c>
      <c r="AJ899" s="132">
        <f t="shared" si="291"/>
        <v>501589</v>
      </c>
      <c r="AK899" s="133">
        <f t="shared" si="292"/>
        <v>0</v>
      </c>
      <c r="AL899" s="132"/>
      <c r="AM899" s="133" t="s">
        <v>900</v>
      </c>
      <c r="AN899" s="246">
        <v>44886</v>
      </c>
      <c r="AO899" s="137"/>
    </row>
    <row r="900" s="254" customFormat="1" customHeight="1" spans="1:41">
      <c r="A900" s="115" t="s">
        <v>7712</v>
      </c>
      <c r="B900" s="111" t="s">
        <v>7713</v>
      </c>
      <c r="C900" s="111" t="s">
        <v>7714</v>
      </c>
      <c r="D900" s="121" t="s">
        <v>7715</v>
      </c>
      <c r="E900" s="113">
        <v>18625578217</v>
      </c>
      <c r="F900" s="267">
        <v>3</v>
      </c>
      <c r="G900" s="268">
        <v>3304</v>
      </c>
      <c r="H900" s="274">
        <v>22.25</v>
      </c>
      <c r="I900" s="274" t="s">
        <v>2657</v>
      </c>
      <c r="J900" s="113" t="s">
        <v>7716</v>
      </c>
      <c r="K900" s="116">
        <v>18.18</v>
      </c>
      <c r="L900" s="266" t="s">
        <v>7717</v>
      </c>
      <c r="M900" s="266" t="s">
        <v>5427</v>
      </c>
      <c r="N900" s="113" t="s">
        <v>66</v>
      </c>
      <c r="O900" s="113"/>
      <c r="P900" s="113"/>
      <c r="Q900" s="113">
        <v>32085.64</v>
      </c>
      <c r="R900" s="113">
        <v>583317</v>
      </c>
      <c r="S900" s="121">
        <v>293317</v>
      </c>
      <c r="T900" s="292">
        <f t="shared" si="280"/>
        <v>290000</v>
      </c>
      <c r="U900" s="113"/>
      <c r="V900" s="113"/>
      <c r="W900" s="113"/>
      <c r="X900" s="113"/>
      <c r="Y900" s="113"/>
      <c r="Z900" s="113"/>
      <c r="AA900" s="113"/>
      <c r="AB900" s="113"/>
      <c r="AC900" s="113"/>
      <c r="AD900" s="351"/>
      <c r="AE900" s="133"/>
      <c r="AF900" s="115"/>
      <c r="AG900" s="133"/>
      <c r="AH900" s="133"/>
      <c r="AI900" s="132">
        <f t="shared" si="290"/>
        <v>293317</v>
      </c>
      <c r="AJ900" s="132">
        <f t="shared" si="291"/>
        <v>293317</v>
      </c>
      <c r="AK900" s="133">
        <f t="shared" si="292"/>
        <v>0</v>
      </c>
      <c r="AL900" s="132"/>
      <c r="AM900" s="133" t="s">
        <v>900</v>
      </c>
      <c r="AN900" s="246">
        <v>44886</v>
      </c>
      <c r="AO900" s="137"/>
    </row>
    <row r="901" s="254" customFormat="1" customHeight="1" spans="1:41">
      <c r="A901" s="115" t="s">
        <v>7718</v>
      </c>
      <c r="B901" s="111" t="s">
        <v>7719</v>
      </c>
      <c r="C901" s="111" t="s">
        <v>7720</v>
      </c>
      <c r="D901" s="121" t="s">
        <v>7721</v>
      </c>
      <c r="E901" s="113">
        <v>18336664259</v>
      </c>
      <c r="F901" s="267">
        <v>3</v>
      </c>
      <c r="G901" s="268">
        <v>3150</v>
      </c>
      <c r="H901" s="274">
        <v>25.73</v>
      </c>
      <c r="I901" s="274" t="s">
        <v>2657</v>
      </c>
      <c r="J901" s="113" t="s">
        <v>7722</v>
      </c>
      <c r="K901" s="116">
        <v>21.49</v>
      </c>
      <c r="L901" s="266" t="s">
        <v>4105</v>
      </c>
      <c r="M901" s="266" t="s">
        <v>3023</v>
      </c>
      <c r="N901" s="113" t="s">
        <v>66</v>
      </c>
      <c r="O901" s="113"/>
      <c r="P901" s="113"/>
      <c r="Q901" s="113">
        <v>31892.37</v>
      </c>
      <c r="R901" s="113">
        <v>685367</v>
      </c>
      <c r="S901" s="121">
        <v>345367</v>
      </c>
      <c r="T901" s="292">
        <f t="shared" si="280"/>
        <v>340000</v>
      </c>
      <c r="U901" s="113"/>
      <c r="V901" s="113"/>
      <c r="W901" s="113"/>
      <c r="X901" s="113"/>
      <c r="Y901" s="113"/>
      <c r="Z901" s="113"/>
      <c r="AA901" s="113"/>
      <c r="AB901" s="113"/>
      <c r="AC901" s="113"/>
      <c r="AD901" s="351"/>
      <c r="AE901" s="133"/>
      <c r="AF901" s="115"/>
      <c r="AG901" s="133"/>
      <c r="AH901" s="133"/>
      <c r="AI901" s="132">
        <f t="shared" si="290"/>
        <v>345367</v>
      </c>
      <c r="AJ901" s="132">
        <f t="shared" si="291"/>
        <v>345367</v>
      </c>
      <c r="AK901" s="133">
        <f t="shared" si="292"/>
        <v>0</v>
      </c>
      <c r="AL901" s="132"/>
      <c r="AM901" s="133" t="s">
        <v>900</v>
      </c>
      <c r="AN901" s="246">
        <v>44886</v>
      </c>
      <c r="AO901" s="137"/>
    </row>
    <row r="902" s="97" customFormat="1" customHeight="1" spans="1:57">
      <c r="A902" s="115" t="s">
        <v>7723</v>
      </c>
      <c r="B902" s="111" t="s">
        <v>7724</v>
      </c>
      <c r="C902" s="111" t="s">
        <v>7725</v>
      </c>
      <c r="D902" s="121" t="s">
        <v>7726</v>
      </c>
      <c r="E902" s="113">
        <v>18625669153</v>
      </c>
      <c r="F902" s="267">
        <v>3</v>
      </c>
      <c r="G902" s="268">
        <v>3381</v>
      </c>
      <c r="H902" s="274">
        <v>17.41</v>
      </c>
      <c r="I902" s="274" t="s">
        <v>2657</v>
      </c>
      <c r="J902" s="113" t="s">
        <v>7727</v>
      </c>
      <c r="K902" s="113">
        <v>17.56</v>
      </c>
      <c r="L902" s="266" t="s">
        <v>4105</v>
      </c>
      <c r="M902" s="266" t="s">
        <v>3023</v>
      </c>
      <c r="N902" s="113" t="s">
        <v>66</v>
      </c>
      <c r="O902" s="113"/>
      <c r="P902" s="113"/>
      <c r="Q902" s="113">
        <v>32124.2</v>
      </c>
      <c r="R902" s="113">
        <v>564101</v>
      </c>
      <c r="S902" s="121">
        <v>284101</v>
      </c>
      <c r="T902" s="292">
        <f t="shared" si="280"/>
        <v>280000</v>
      </c>
      <c r="U902" s="113"/>
      <c r="V902" s="113"/>
      <c r="W902" s="113"/>
      <c r="X902" s="113"/>
      <c r="Y902" s="113"/>
      <c r="Z902" s="113"/>
      <c r="AA902" s="113"/>
      <c r="AB902" s="113"/>
      <c r="AC902" s="113"/>
      <c r="AD902" s="351"/>
      <c r="AE902" s="133"/>
      <c r="AF902" s="115"/>
      <c r="AG902" s="133"/>
      <c r="AH902" s="133"/>
      <c r="AI902" s="132">
        <f t="shared" si="290"/>
        <v>284101</v>
      </c>
      <c r="AJ902" s="132">
        <f t="shared" si="291"/>
        <v>284101</v>
      </c>
      <c r="AK902" s="133">
        <f t="shared" si="292"/>
        <v>0</v>
      </c>
      <c r="AL902" s="132"/>
      <c r="AM902" s="133" t="s">
        <v>900</v>
      </c>
      <c r="AN902" s="246">
        <v>44886</v>
      </c>
      <c r="AO902" s="137"/>
      <c r="AP902" s="254"/>
      <c r="AQ902" s="254"/>
      <c r="AR902" s="254"/>
      <c r="AS902" s="254"/>
      <c r="AT902" s="254"/>
      <c r="AU902" s="254"/>
      <c r="AV902" s="254"/>
      <c r="AW902" s="254"/>
      <c r="AX902" s="254"/>
      <c r="AY902" s="254"/>
      <c r="AZ902" s="254"/>
      <c r="BA902" s="254"/>
      <c r="BB902" s="254"/>
      <c r="BC902" s="254"/>
      <c r="BD902" s="254"/>
      <c r="BE902" s="254"/>
    </row>
    <row r="903" s="97" customFormat="1" customHeight="1" spans="1:57">
      <c r="A903" s="115" t="s">
        <v>7728</v>
      </c>
      <c r="B903" s="111" t="s">
        <v>7729</v>
      </c>
      <c r="C903" s="554" t="s">
        <v>7730</v>
      </c>
      <c r="D903" s="113" t="s">
        <v>7731</v>
      </c>
      <c r="E903" s="113">
        <v>18739085332</v>
      </c>
      <c r="F903" s="267">
        <v>4</v>
      </c>
      <c r="G903" s="268">
        <v>4348</v>
      </c>
      <c r="H903" s="274">
        <v>12.98</v>
      </c>
      <c r="I903" s="274" t="s">
        <v>2657</v>
      </c>
      <c r="J903" s="113" t="s">
        <v>7732</v>
      </c>
      <c r="K903" s="113">
        <v>11.82</v>
      </c>
      <c r="L903" s="266" t="s">
        <v>3408</v>
      </c>
      <c r="M903" s="266" t="s">
        <v>3096</v>
      </c>
      <c r="N903" s="113" t="s">
        <v>66</v>
      </c>
      <c r="O903" s="113"/>
      <c r="P903" s="113"/>
      <c r="Q903" s="113">
        <v>26287.65</v>
      </c>
      <c r="R903" s="113">
        <v>310720</v>
      </c>
      <c r="S903" s="121">
        <v>160720</v>
      </c>
      <c r="T903" s="292">
        <f t="shared" si="280"/>
        <v>150000</v>
      </c>
      <c r="U903" s="113"/>
      <c r="V903" s="113"/>
      <c r="W903" s="113"/>
      <c r="X903" s="113"/>
      <c r="Y903" s="113"/>
      <c r="Z903" s="113"/>
      <c r="AA903" s="113"/>
      <c r="AB903" s="113"/>
      <c r="AC903" s="113"/>
      <c r="AD903" s="351"/>
      <c r="AE903" s="133"/>
      <c r="AF903" s="115"/>
      <c r="AG903" s="133"/>
      <c r="AH903" s="133"/>
      <c r="AI903" s="132">
        <f t="shared" si="290"/>
        <v>160720</v>
      </c>
      <c r="AJ903" s="132">
        <f t="shared" si="291"/>
        <v>160720</v>
      </c>
      <c r="AK903" s="133">
        <f t="shared" si="292"/>
        <v>0</v>
      </c>
      <c r="AL903" s="132"/>
      <c r="AM903" s="133" t="s">
        <v>900</v>
      </c>
      <c r="AN903" s="246">
        <v>44886</v>
      </c>
      <c r="AO903" s="137"/>
      <c r="AP903" s="257"/>
      <c r="AQ903" s="257"/>
      <c r="AR903" s="257"/>
      <c r="AS903" s="257"/>
      <c r="AT903" s="257"/>
      <c r="AU903" s="257"/>
      <c r="AV903" s="257"/>
      <c r="AW903" s="257"/>
      <c r="AX903" s="257"/>
      <c r="AY903" s="257"/>
      <c r="AZ903" s="257"/>
      <c r="BA903" s="257"/>
      <c r="BB903" s="257"/>
      <c r="BC903" s="257"/>
      <c r="BD903" s="257"/>
      <c r="BE903" s="257"/>
    </row>
    <row r="904" s="254" customFormat="1" customHeight="1" spans="1:41">
      <c r="A904" s="106" t="s">
        <v>7733</v>
      </c>
      <c r="B904" s="111" t="s">
        <v>7734</v>
      </c>
      <c r="C904" s="111" t="s">
        <v>7735</v>
      </c>
      <c r="D904" s="121" t="s">
        <v>7736</v>
      </c>
      <c r="E904" s="113">
        <v>15515588312</v>
      </c>
      <c r="F904" s="267">
        <v>3</v>
      </c>
      <c r="G904" s="268">
        <v>3519</v>
      </c>
      <c r="H904" s="274">
        <v>23.75</v>
      </c>
      <c r="I904" s="274" t="s">
        <v>2657</v>
      </c>
      <c r="J904" s="113" t="s">
        <v>7737</v>
      </c>
      <c r="K904" s="113">
        <v>9.96</v>
      </c>
      <c r="L904" s="266" t="s">
        <v>4270</v>
      </c>
      <c r="M904" s="266" t="s">
        <v>4728</v>
      </c>
      <c r="N904" s="113" t="s">
        <v>66</v>
      </c>
      <c r="O904" s="113"/>
      <c r="P904" s="113"/>
      <c r="Q904" s="113">
        <v>33027.91</v>
      </c>
      <c r="R904" s="113">
        <v>328958</v>
      </c>
      <c r="S904" s="121">
        <v>168958</v>
      </c>
      <c r="T904" s="292">
        <f t="shared" si="280"/>
        <v>160000</v>
      </c>
      <c r="U904" s="113"/>
      <c r="V904" s="113"/>
      <c r="W904" s="113"/>
      <c r="X904" s="113"/>
      <c r="Y904" s="113"/>
      <c r="Z904" s="113"/>
      <c r="AA904" s="113"/>
      <c r="AB904" s="113"/>
      <c r="AC904" s="246"/>
      <c r="AD904" s="353"/>
      <c r="AE904" s="115"/>
      <c r="AF904" s="115"/>
      <c r="AG904" s="115"/>
      <c r="AH904" s="115"/>
      <c r="AI904" s="132">
        <f t="shared" si="290"/>
        <v>168958</v>
      </c>
      <c r="AJ904" s="132">
        <f t="shared" si="291"/>
        <v>168958</v>
      </c>
      <c r="AK904" s="133">
        <f t="shared" si="292"/>
        <v>0</v>
      </c>
      <c r="AL904" s="115"/>
      <c r="AM904" s="115" t="s">
        <v>974</v>
      </c>
      <c r="AN904" s="246">
        <v>44886</v>
      </c>
      <c r="AO904" s="137"/>
    </row>
    <row r="905" s="254" customFormat="1" customHeight="1" spans="1:57">
      <c r="A905" s="106" t="s">
        <v>7738</v>
      </c>
      <c r="B905" s="111" t="s">
        <v>7739</v>
      </c>
      <c r="C905" s="111" t="s">
        <v>7740</v>
      </c>
      <c r="D905" s="121" t="s">
        <v>7741</v>
      </c>
      <c r="E905" s="113">
        <v>13033909398</v>
      </c>
      <c r="F905" s="267">
        <v>3</v>
      </c>
      <c r="G905" s="268">
        <v>3811</v>
      </c>
      <c r="H905" s="274">
        <v>13.24</v>
      </c>
      <c r="I905" s="274" t="s">
        <v>2657</v>
      </c>
      <c r="J905" s="113" t="s">
        <v>7742</v>
      </c>
      <c r="K905" s="113">
        <v>10.67</v>
      </c>
      <c r="L905" s="266" t="s">
        <v>4587</v>
      </c>
      <c r="M905" s="266" t="s">
        <v>5169</v>
      </c>
      <c r="N905" s="113" t="s">
        <v>66</v>
      </c>
      <c r="O905" s="113"/>
      <c r="P905" s="113"/>
      <c r="Q905" s="113">
        <v>32978.54</v>
      </c>
      <c r="R905" s="113">
        <v>351881</v>
      </c>
      <c r="S905" s="121">
        <v>181881</v>
      </c>
      <c r="T905" s="292">
        <f t="shared" si="280"/>
        <v>170000</v>
      </c>
      <c r="U905" s="113"/>
      <c r="V905" s="113"/>
      <c r="W905" s="113"/>
      <c r="X905" s="113"/>
      <c r="Y905" s="113"/>
      <c r="Z905" s="113"/>
      <c r="AA905" s="113"/>
      <c r="AB905" s="113"/>
      <c r="AC905" s="246"/>
      <c r="AD905" s="353"/>
      <c r="AE905" s="115"/>
      <c r="AF905" s="115"/>
      <c r="AG905" s="115"/>
      <c r="AH905" s="115"/>
      <c r="AI905" s="132">
        <f t="shared" si="290"/>
        <v>181881</v>
      </c>
      <c r="AJ905" s="132">
        <f t="shared" si="291"/>
        <v>181881</v>
      </c>
      <c r="AK905" s="133">
        <f t="shared" si="292"/>
        <v>0</v>
      </c>
      <c r="AL905" s="115"/>
      <c r="AM905" s="115" t="s">
        <v>974</v>
      </c>
      <c r="AN905" s="246">
        <v>44886</v>
      </c>
      <c r="AO905" s="137"/>
      <c r="AP905" s="97"/>
      <c r="AQ905" s="97"/>
      <c r="AR905" s="97"/>
      <c r="AS905" s="97"/>
      <c r="AT905" s="97"/>
      <c r="AU905" s="97"/>
      <c r="AV905" s="97"/>
      <c r="AW905" s="97"/>
      <c r="AX905" s="97"/>
      <c r="AY905" s="97"/>
      <c r="AZ905" s="97"/>
      <c r="BA905" s="97"/>
      <c r="BB905" s="97"/>
      <c r="BC905" s="97"/>
      <c r="BD905" s="97"/>
      <c r="BE905" s="97"/>
    </row>
    <row r="906" s="254" customFormat="1" customHeight="1" spans="1:41">
      <c r="A906" s="106" t="s">
        <v>7743</v>
      </c>
      <c r="B906" s="111" t="s">
        <v>7744</v>
      </c>
      <c r="C906" s="111" t="s">
        <v>7745</v>
      </c>
      <c r="D906" s="121" t="s">
        <v>7746</v>
      </c>
      <c r="E906" s="113">
        <v>15978420332</v>
      </c>
      <c r="F906" s="267">
        <v>3</v>
      </c>
      <c r="G906" s="268">
        <v>3108</v>
      </c>
      <c r="H906" s="274">
        <v>18.11</v>
      </c>
      <c r="I906" s="274" t="s">
        <v>2657</v>
      </c>
      <c r="J906" s="113" t="s">
        <v>7747</v>
      </c>
      <c r="K906" s="116">
        <v>16.24</v>
      </c>
      <c r="L906" s="266" t="s">
        <v>3338</v>
      </c>
      <c r="M906" s="266" t="s">
        <v>2770</v>
      </c>
      <c r="N906" s="113" t="s">
        <v>66</v>
      </c>
      <c r="O906" s="113"/>
      <c r="P906" s="113"/>
      <c r="Q906" s="113">
        <v>31776.6</v>
      </c>
      <c r="R906" s="113">
        <v>516052</v>
      </c>
      <c r="S906" s="121">
        <v>266052</v>
      </c>
      <c r="T906" s="292">
        <f t="shared" si="280"/>
        <v>250000</v>
      </c>
      <c r="U906" s="113"/>
      <c r="V906" s="113"/>
      <c r="W906" s="113"/>
      <c r="X906" s="113"/>
      <c r="Y906" s="113"/>
      <c r="Z906" s="113"/>
      <c r="AA906" s="113"/>
      <c r="AB906" s="113"/>
      <c r="AC906" s="246"/>
      <c r="AD906" s="353"/>
      <c r="AE906" s="115"/>
      <c r="AF906" s="115"/>
      <c r="AG906" s="115"/>
      <c r="AH906" s="115"/>
      <c r="AI906" s="132">
        <f t="shared" si="290"/>
        <v>266052</v>
      </c>
      <c r="AJ906" s="132">
        <f t="shared" si="291"/>
        <v>266052</v>
      </c>
      <c r="AK906" s="133">
        <f t="shared" si="292"/>
        <v>0</v>
      </c>
      <c r="AL906" s="115"/>
      <c r="AM906" s="115" t="s">
        <v>974</v>
      </c>
      <c r="AN906" s="246">
        <v>44886</v>
      </c>
      <c r="AO906" s="137"/>
    </row>
    <row r="907" s="97" customFormat="1" customHeight="1" spans="1:41">
      <c r="A907" s="106" t="s">
        <v>7748</v>
      </c>
      <c r="B907" s="111" t="s">
        <v>7749</v>
      </c>
      <c r="C907" s="111" t="s">
        <v>7750</v>
      </c>
      <c r="D907" s="121" t="s">
        <v>7751</v>
      </c>
      <c r="E907" s="113">
        <v>13592635306</v>
      </c>
      <c r="F907" s="267">
        <v>3</v>
      </c>
      <c r="G907" s="268">
        <v>3485</v>
      </c>
      <c r="H907" s="274">
        <v>14.27</v>
      </c>
      <c r="I907" s="274" t="s">
        <v>2657</v>
      </c>
      <c r="J907" s="113" t="s">
        <v>7752</v>
      </c>
      <c r="K907" s="113">
        <v>11.37</v>
      </c>
      <c r="L907" s="266" t="s">
        <v>4270</v>
      </c>
      <c r="M907" s="266" t="s">
        <v>6865</v>
      </c>
      <c r="N907" s="113" t="s">
        <v>66</v>
      </c>
      <c r="O907" s="113"/>
      <c r="P907" s="113"/>
      <c r="Q907" s="113">
        <v>32912.23</v>
      </c>
      <c r="R907" s="113">
        <v>374212</v>
      </c>
      <c r="S907" s="121">
        <v>194212</v>
      </c>
      <c r="T907" s="292">
        <f t="shared" si="280"/>
        <v>180000</v>
      </c>
      <c r="U907" s="113"/>
      <c r="V907" s="113"/>
      <c r="W907" s="113"/>
      <c r="X907" s="113"/>
      <c r="Y907" s="113"/>
      <c r="Z907" s="113"/>
      <c r="AA907" s="113"/>
      <c r="AB907" s="113"/>
      <c r="AC907" s="246"/>
      <c r="AD907" s="353"/>
      <c r="AE907" s="115"/>
      <c r="AF907" s="115"/>
      <c r="AG907" s="115"/>
      <c r="AH907" s="115"/>
      <c r="AI907" s="132">
        <f t="shared" si="290"/>
        <v>194212</v>
      </c>
      <c r="AJ907" s="132">
        <f t="shared" si="291"/>
        <v>194212</v>
      </c>
      <c r="AK907" s="133">
        <f t="shared" si="292"/>
        <v>0</v>
      </c>
      <c r="AL907" s="115"/>
      <c r="AM907" s="115" t="s">
        <v>974</v>
      </c>
      <c r="AN907" s="246">
        <v>44886</v>
      </c>
      <c r="AO907" s="137"/>
    </row>
    <row r="908" s="97" customFormat="1" customHeight="1" spans="1:42">
      <c r="A908" s="106" t="s">
        <v>7753</v>
      </c>
      <c r="B908" s="111" t="s">
        <v>7754</v>
      </c>
      <c r="C908" s="111" t="s">
        <v>7755</v>
      </c>
      <c r="D908" s="121" t="s">
        <v>7756</v>
      </c>
      <c r="E908" s="113">
        <v>18103898272</v>
      </c>
      <c r="F908" s="267">
        <v>3</v>
      </c>
      <c r="G908" s="268">
        <v>3835</v>
      </c>
      <c r="H908" s="274">
        <v>16.07</v>
      </c>
      <c r="I908" s="274" t="s">
        <v>2657</v>
      </c>
      <c r="J908" s="113" t="s">
        <v>7757</v>
      </c>
      <c r="K908" s="113">
        <v>15</v>
      </c>
      <c r="L908" s="266" t="s">
        <v>2747</v>
      </c>
      <c r="M908" s="266" t="s">
        <v>3055</v>
      </c>
      <c r="N908" s="113" t="s">
        <v>56</v>
      </c>
      <c r="O908" s="113"/>
      <c r="P908" s="113"/>
      <c r="Q908" s="113">
        <v>31333.33</v>
      </c>
      <c r="R908" s="113">
        <v>470000</v>
      </c>
      <c r="S908" s="121">
        <v>470000</v>
      </c>
      <c r="T908" s="292">
        <f t="shared" si="280"/>
        <v>0</v>
      </c>
      <c r="U908" s="113"/>
      <c r="V908" s="113"/>
      <c r="W908" s="113"/>
      <c r="X908" s="113"/>
      <c r="Y908" s="113"/>
      <c r="Z908" s="113" t="s">
        <v>1851</v>
      </c>
      <c r="AA908" s="113"/>
      <c r="AB908" s="113"/>
      <c r="AC908" s="246"/>
      <c r="AD908" s="353"/>
      <c r="AE908" s="353"/>
      <c r="AF908" s="115"/>
      <c r="AG908" s="115"/>
      <c r="AH908" s="115"/>
      <c r="AI908" s="132">
        <f t="shared" si="290"/>
        <v>470000</v>
      </c>
      <c r="AJ908" s="132">
        <f t="shared" si="291"/>
        <v>470000</v>
      </c>
      <c r="AK908" s="133">
        <f t="shared" si="292"/>
        <v>0</v>
      </c>
      <c r="AL908" s="115"/>
      <c r="AM908" s="115" t="s">
        <v>974</v>
      </c>
      <c r="AN908" s="246">
        <v>44886</v>
      </c>
      <c r="AO908" s="288"/>
      <c r="AP908" s="288"/>
    </row>
    <row r="909" s="97" customFormat="1" customHeight="1" spans="1:41">
      <c r="A909" s="106" t="s">
        <v>7758</v>
      </c>
      <c r="B909" s="111" t="s">
        <v>7759</v>
      </c>
      <c r="C909" s="554" t="s">
        <v>7760</v>
      </c>
      <c r="D909" s="113" t="s">
        <v>7761</v>
      </c>
      <c r="E909" s="113">
        <v>13534157620</v>
      </c>
      <c r="F909" s="267">
        <v>4</v>
      </c>
      <c r="G909" s="268">
        <v>4474</v>
      </c>
      <c r="H909" s="274">
        <v>16.77</v>
      </c>
      <c r="I909" s="274" t="s">
        <v>2657</v>
      </c>
      <c r="J909" s="267" t="s">
        <v>7762</v>
      </c>
      <c r="K909" s="267">
        <v>14.77</v>
      </c>
      <c r="L909" s="266" t="s">
        <v>4566</v>
      </c>
      <c r="M909" s="266" t="s">
        <v>7763</v>
      </c>
      <c r="N909" s="113" t="s">
        <v>56</v>
      </c>
      <c r="O909" s="113"/>
      <c r="P909" s="113"/>
      <c r="Q909" s="113">
        <v>26404.87</v>
      </c>
      <c r="R909" s="113">
        <v>390000</v>
      </c>
      <c r="S909" s="121">
        <v>390000</v>
      </c>
      <c r="T909" s="292">
        <f t="shared" si="280"/>
        <v>0</v>
      </c>
      <c r="U909" s="113"/>
      <c r="V909" s="113"/>
      <c r="W909" s="113"/>
      <c r="X909" s="113"/>
      <c r="Y909" s="113"/>
      <c r="Z909" s="113"/>
      <c r="AA909" s="113"/>
      <c r="AB909" s="113"/>
      <c r="AC909" s="246"/>
      <c r="AD909" s="353"/>
      <c r="AE909" s="115"/>
      <c r="AF909" s="115"/>
      <c r="AG909" s="115"/>
      <c r="AH909" s="115"/>
      <c r="AI909" s="132">
        <f t="shared" ref="AI909:AI918" si="293">S909+U909+V909+W909+X909+AC909+AD909+AE909</f>
        <v>390000</v>
      </c>
      <c r="AJ909" s="132">
        <f t="shared" ref="AJ909:AJ918" si="294">S909+U909+V909+W909+X909</f>
        <v>390000</v>
      </c>
      <c r="AK909" s="133">
        <f t="shared" ref="AK909:AK918" si="295">AI909-AJ909</f>
        <v>0</v>
      </c>
      <c r="AL909" s="115"/>
      <c r="AM909" s="115" t="s">
        <v>974</v>
      </c>
      <c r="AN909" s="246">
        <v>44886</v>
      </c>
      <c r="AO909" s="137"/>
    </row>
    <row r="910" s="97" customFormat="1" customHeight="1" spans="1:41">
      <c r="A910" s="106" t="s">
        <v>7764</v>
      </c>
      <c r="B910" s="111" t="s">
        <v>7765</v>
      </c>
      <c r="C910" s="554" t="s">
        <v>7766</v>
      </c>
      <c r="D910" s="113" t="s">
        <v>7767</v>
      </c>
      <c r="E910" s="113">
        <v>18639696969</v>
      </c>
      <c r="F910" s="267">
        <v>1</v>
      </c>
      <c r="G910" s="268">
        <v>183</v>
      </c>
      <c r="H910" s="274">
        <v>29.65</v>
      </c>
      <c r="I910" s="274" t="s">
        <v>2657</v>
      </c>
      <c r="J910" s="113" t="s">
        <v>7768</v>
      </c>
      <c r="K910" s="116">
        <v>34.48</v>
      </c>
      <c r="L910" s="266" t="s">
        <v>3060</v>
      </c>
      <c r="M910" s="266" t="s">
        <v>2890</v>
      </c>
      <c r="N910" s="113" t="s">
        <v>66</v>
      </c>
      <c r="O910" s="113"/>
      <c r="P910" s="113"/>
      <c r="Q910" s="113">
        <v>47035.53</v>
      </c>
      <c r="R910" s="113">
        <v>1621785</v>
      </c>
      <c r="S910" s="121">
        <v>811785</v>
      </c>
      <c r="T910" s="292">
        <f t="shared" si="280"/>
        <v>810000</v>
      </c>
      <c r="U910" s="113"/>
      <c r="V910" s="113"/>
      <c r="W910" s="113"/>
      <c r="X910" s="113"/>
      <c r="Y910" s="113"/>
      <c r="Z910" s="113"/>
      <c r="AA910" s="113"/>
      <c r="AB910" s="113"/>
      <c r="AC910" s="246"/>
      <c r="AD910" s="353"/>
      <c r="AE910" s="115"/>
      <c r="AF910" s="115"/>
      <c r="AG910" s="115"/>
      <c r="AH910" s="115"/>
      <c r="AI910" s="132">
        <f t="shared" si="293"/>
        <v>811785</v>
      </c>
      <c r="AJ910" s="132">
        <f t="shared" si="294"/>
        <v>811785</v>
      </c>
      <c r="AK910" s="133">
        <f t="shared" si="295"/>
        <v>0</v>
      </c>
      <c r="AL910" s="115"/>
      <c r="AM910" s="115" t="s">
        <v>974</v>
      </c>
      <c r="AN910" s="246">
        <v>44886</v>
      </c>
      <c r="AO910" s="137"/>
    </row>
    <row r="911" s="97" customFormat="1" customHeight="1" spans="1:41">
      <c r="A911" s="106" t="s">
        <v>7769</v>
      </c>
      <c r="B911" s="111" t="s">
        <v>7770</v>
      </c>
      <c r="C911" s="111" t="s">
        <v>7771</v>
      </c>
      <c r="D911" s="113" t="s">
        <v>7772</v>
      </c>
      <c r="E911" s="113">
        <v>17339677126</v>
      </c>
      <c r="F911" s="267">
        <v>1</v>
      </c>
      <c r="G911" s="268">
        <v>184</v>
      </c>
      <c r="H911" s="274">
        <v>47.4</v>
      </c>
      <c r="I911" s="274" t="s">
        <v>2657</v>
      </c>
      <c r="J911" s="113" t="s">
        <v>7773</v>
      </c>
      <c r="K911" s="116">
        <v>29.59</v>
      </c>
      <c r="L911" s="266" t="s">
        <v>3060</v>
      </c>
      <c r="M911" s="266" t="s">
        <v>2890</v>
      </c>
      <c r="N911" s="113" t="s">
        <v>66</v>
      </c>
      <c r="O911" s="113"/>
      <c r="P911" s="113"/>
      <c r="Q911" s="113">
        <v>46803.82</v>
      </c>
      <c r="R911" s="113">
        <v>1384925</v>
      </c>
      <c r="S911" s="121">
        <v>694925</v>
      </c>
      <c r="T911" s="292">
        <f t="shared" si="280"/>
        <v>690000</v>
      </c>
      <c r="U911" s="113"/>
      <c r="V911" s="113"/>
      <c r="W911" s="113"/>
      <c r="X911" s="113"/>
      <c r="Y911" s="113"/>
      <c r="Z911" s="113"/>
      <c r="AA911" s="113"/>
      <c r="AB911" s="113"/>
      <c r="AC911" s="246"/>
      <c r="AD911" s="353"/>
      <c r="AE911" s="115"/>
      <c r="AF911" s="115"/>
      <c r="AG911" s="115"/>
      <c r="AH911" s="115"/>
      <c r="AI911" s="132">
        <f t="shared" si="293"/>
        <v>694925</v>
      </c>
      <c r="AJ911" s="132">
        <f t="shared" si="294"/>
        <v>694925</v>
      </c>
      <c r="AK911" s="133">
        <f t="shared" si="295"/>
        <v>0</v>
      </c>
      <c r="AL911" s="115"/>
      <c r="AM911" s="115" t="s">
        <v>974</v>
      </c>
      <c r="AN911" s="246">
        <v>44886</v>
      </c>
      <c r="AO911" s="137"/>
    </row>
    <row r="912" s="254" customFormat="1" customHeight="1" spans="1:41">
      <c r="A912" s="106" t="s">
        <v>7774</v>
      </c>
      <c r="B912" s="296" t="s">
        <v>7775</v>
      </c>
      <c r="C912" s="296" t="s">
        <v>7776</v>
      </c>
      <c r="D912" s="267" t="s">
        <v>7777</v>
      </c>
      <c r="E912" s="267">
        <v>13837936661</v>
      </c>
      <c r="F912" s="267">
        <v>4</v>
      </c>
      <c r="G912" s="268">
        <v>493</v>
      </c>
      <c r="H912" s="274">
        <v>38.55</v>
      </c>
      <c r="I912" s="274" t="s">
        <v>2665</v>
      </c>
      <c r="J912" s="267" t="s">
        <v>7778</v>
      </c>
      <c r="K912" s="326">
        <v>49.5</v>
      </c>
      <c r="L912" s="268" t="s">
        <v>2711</v>
      </c>
      <c r="M912" s="268" t="s">
        <v>3402</v>
      </c>
      <c r="N912" s="267" t="s">
        <v>66</v>
      </c>
      <c r="O912" s="267"/>
      <c r="P912" s="267"/>
      <c r="Q912" s="274">
        <v>19879.2525252525</v>
      </c>
      <c r="R912" s="267">
        <v>766345</v>
      </c>
      <c r="S912" s="292">
        <v>491345</v>
      </c>
      <c r="T912" s="292">
        <f t="shared" si="280"/>
        <v>275000</v>
      </c>
      <c r="U912" s="267"/>
      <c r="V912" s="267">
        <v>2505</v>
      </c>
      <c r="W912" s="267">
        <v>560</v>
      </c>
      <c r="X912" s="267"/>
      <c r="Y912" s="267"/>
      <c r="Z912" s="267"/>
      <c r="AA912" s="267"/>
      <c r="AB912" s="267"/>
      <c r="AC912" s="246"/>
      <c r="AD912" s="353"/>
      <c r="AE912" s="115"/>
      <c r="AF912" s="115"/>
      <c r="AG912" s="115"/>
      <c r="AH912" s="115"/>
      <c r="AI912" s="132">
        <f t="shared" si="293"/>
        <v>494410</v>
      </c>
      <c r="AJ912" s="132">
        <f t="shared" si="294"/>
        <v>494410</v>
      </c>
      <c r="AK912" s="133">
        <f t="shared" si="295"/>
        <v>0</v>
      </c>
      <c r="AL912" s="115"/>
      <c r="AM912" s="115" t="s">
        <v>974</v>
      </c>
      <c r="AN912" s="246">
        <v>44886</v>
      </c>
      <c r="AO912" s="137"/>
    </row>
    <row r="913" s="254" customFormat="1" customHeight="1" spans="1:41">
      <c r="A913" s="106" t="s">
        <v>7779</v>
      </c>
      <c r="B913" s="111" t="s">
        <v>7780</v>
      </c>
      <c r="C913" s="111" t="s">
        <v>7781</v>
      </c>
      <c r="D913" s="113" t="s">
        <v>7782</v>
      </c>
      <c r="E913" s="113">
        <v>13703938830</v>
      </c>
      <c r="F913" s="267">
        <v>4</v>
      </c>
      <c r="G913" s="268">
        <v>4255</v>
      </c>
      <c r="H913" s="274">
        <v>15.22</v>
      </c>
      <c r="I913" s="274" t="s">
        <v>2657</v>
      </c>
      <c r="J913" s="113" t="s">
        <v>7783</v>
      </c>
      <c r="K913" s="116">
        <v>12.19</v>
      </c>
      <c r="L913" s="266" t="s">
        <v>3355</v>
      </c>
      <c r="M913" s="266" t="s">
        <v>5185</v>
      </c>
      <c r="N913" s="113" t="s">
        <v>66</v>
      </c>
      <c r="O913" s="113"/>
      <c r="P913" s="113"/>
      <c r="Q913" s="113">
        <v>26553.24</v>
      </c>
      <c r="R913" s="113">
        <v>404140</v>
      </c>
      <c r="S913" s="121">
        <v>204140</v>
      </c>
      <c r="T913" s="292">
        <f t="shared" si="280"/>
        <v>200000</v>
      </c>
      <c r="U913" s="113"/>
      <c r="V913" s="113">
        <v>989</v>
      </c>
      <c r="W913" s="113">
        <v>550</v>
      </c>
      <c r="X913" s="113"/>
      <c r="Y913" s="113" t="s">
        <v>2669</v>
      </c>
      <c r="Z913" s="113"/>
      <c r="AA913" s="113"/>
      <c r="AB913" s="113"/>
      <c r="AC913" s="246"/>
      <c r="AD913" s="353"/>
      <c r="AE913" s="115"/>
      <c r="AF913" s="115"/>
      <c r="AG913" s="115"/>
      <c r="AH913" s="115"/>
      <c r="AI913" s="132">
        <f t="shared" si="293"/>
        <v>205679</v>
      </c>
      <c r="AJ913" s="132">
        <f t="shared" si="294"/>
        <v>205679</v>
      </c>
      <c r="AK913" s="133">
        <f t="shared" si="295"/>
        <v>0</v>
      </c>
      <c r="AL913" s="115"/>
      <c r="AM913" s="115" t="s">
        <v>974</v>
      </c>
      <c r="AN913" s="246">
        <v>44886</v>
      </c>
      <c r="AO913" s="137"/>
    </row>
    <row r="914" s="254" customFormat="1" customHeight="1" spans="1:41">
      <c r="A914" s="106" t="s">
        <v>7784</v>
      </c>
      <c r="B914" s="336" t="s">
        <v>7785</v>
      </c>
      <c r="C914" s="336" t="s">
        <v>7786</v>
      </c>
      <c r="D914" s="266" t="s">
        <v>7787</v>
      </c>
      <c r="E914" s="266" t="s">
        <v>7788</v>
      </c>
      <c r="F914" s="267">
        <v>1</v>
      </c>
      <c r="G914" s="268">
        <v>1175</v>
      </c>
      <c r="H914" s="274">
        <v>19.28</v>
      </c>
      <c r="I914" s="274" t="s">
        <v>2665</v>
      </c>
      <c r="J914" s="267" t="s">
        <v>7789</v>
      </c>
      <c r="K914" s="116">
        <v>24.8</v>
      </c>
      <c r="L914" s="266" t="s">
        <v>7790</v>
      </c>
      <c r="M914" s="266" t="s">
        <v>4257</v>
      </c>
      <c r="N914" s="266" t="s">
        <v>56</v>
      </c>
      <c r="O914" s="266"/>
      <c r="P914" s="266"/>
      <c r="Q914" s="116">
        <v>42338.71</v>
      </c>
      <c r="R914" s="121">
        <v>816290</v>
      </c>
      <c r="S914" s="121">
        <v>816290</v>
      </c>
      <c r="T914" s="292">
        <f t="shared" si="280"/>
        <v>0</v>
      </c>
      <c r="U914" s="113"/>
      <c r="V914" s="267">
        <v>1253</v>
      </c>
      <c r="W914" s="267">
        <v>550</v>
      </c>
      <c r="X914" s="267">
        <v>10667</v>
      </c>
      <c r="Y914" s="267" t="s">
        <v>2669</v>
      </c>
      <c r="Z914" s="113" t="s">
        <v>48</v>
      </c>
      <c r="AA914" s="305">
        <v>44020</v>
      </c>
      <c r="AB914" s="267"/>
      <c r="AC914" s="246"/>
      <c r="AD914" s="353"/>
      <c r="AE914" s="115"/>
      <c r="AF914" s="115"/>
      <c r="AG914" s="115"/>
      <c r="AH914" s="115"/>
      <c r="AI914" s="132">
        <f t="shared" si="293"/>
        <v>828760</v>
      </c>
      <c r="AJ914" s="132">
        <f t="shared" si="294"/>
        <v>828760</v>
      </c>
      <c r="AK914" s="133">
        <f t="shared" si="295"/>
        <v>0</v>
      </c>
      <c r="AL914" s="115"/>
      <c r="AM914" s="115" t="s">
        <v>974</v>
      </c>
      <c r="AN914" s="246">
        <v>44886</v>
      </c>
      <c r="AO914" s="137"/>
    </row>
    <row r="915" s="254" customFormat="1" customHeight="1" spans="1:57">
      <c r="A915" s="106" t="s">
        <v>7791</v>
      </c>
      <c r="B915" s="336" t="s">
        <v>7785</v>
      </c>
      <c r="C915" s="336" t="s">
        <v>7786</v>
      </c>
      <c r="D915" s="266" t="s">
        <v>7787</v>
      </c>
      <c r="E915" s="266" t="s">
        <v>7788</v>
      </c>
      <c r="F915" s="267">
        <v>1</v>
      </c>
      <c r="G915" s="268">
        <v>1173</v>
      </c>
      <c r="H915" s="274">
        <v>34.01</v>
      </c>
      <c r="I915" s="274" t="s">
        <v>2665</v>
      </c>
      <c r="J915" s="267" t="s">
        <v>7792</v>
      </c>
      <c r="K915" s="116">
        <v>28.95</v>
      </c>
      <c r="L915" s="266" t="s">
        <v>7790</v>
      </c>
      <c r="M915" s="266" t="s">
        <v>4257</v>
      </c>
      <c r="N915" s="266" t="s">
        <v>56</v>
      </c>
      <c r="O915" s="266"/>
      <c r="P915" s="266"/>
      <c r="Q915" s="116">
        <v>43177.89</v>
      </c>
      <c r="R915" s="121">
        <v>1468480</v>
      </c>
      <c r="S915" s="121">
        <v>1468480</v>
      </c>
      <c r="T915" s="292">
        <f t="shared" si="280"/>
        <v>0</v>
      </c>
      <c r="U915" s="113"/>
      <c r="V915" s="113">
        <v>2210</v>
      </c>
      <c r="W915" s="113">
        <v>550</v>
      </c>
      <c r="X915" s="113"/>
      <c r="Y915" s="113" t="s">
        <v>2669</v>
      </c>
      <c r="Z915" s="113" t="s">
        <v>48</v>
      </c>
      <c r="AA915" s="305">
        <v>44020</v>
      </c>
      <c r="AB915" s="266"/>
      <c r="AC915" s="246"/>
      <c r="AD915" s="353"/>
      <c r="AE915" s="115"/>
      <c r="AF915" s="115"/>
      <c r="AG915" s="115"/>
      <c r="AH915" s="115"/>
      <c r="AI915" s="132">
        <f t="shared" si="293"/>
        <v>1471240</v>
      </c>
      <c r="AJ915" s="132">
        <f t="shared" si="294"/>
        <v>1471240</v>
      </c>
      <c r="AK915" s="133">
        <f t="shared" si="295"/>
        <v>0</v>
      </c>
      <c r="AL915" s="115"/>
      <c r="AM915" s="115" t="s">
        <v>974</v>
      </c>
      <c r="AN915" s="246">
        <v>44886</v>
      </c>
      <c r="AO915" s="137"/>
      <c r="AP915" s="97"/>
      <c r="AQ915" s="97"/>
      <c r="AR915" s="97"/>
      <c r="AS915" s="97"/>
      <c r="AT915" s="97"/>
      <c r="AU915" s="97"/>
      <c r="AV915" s="97"/>
      <c r="AW915" s="97"/>
      <c r="AX915" s="97"/>
      <c r="AY915" s="97"/>
      <c r="AZ915" s="97"/>
      <c r="BA915" s="97"/>
      <c r="BB915" s="97"/>
      <c r="BC915" s="97"/>
      <c r="BD915" s="97"/>
      <c r="BE915" s="97"/>
    </row>
    <row r="916" s="255" customFormat="1" customHeight="1" spans="1:57">
      <c r="A916" s="106" t="s">
        <v>7793</v>
      </c>
      <c r="B916" s="111" t="s">
        <v>7794</v>
      </c>
      <c r="C916" s="111" t="s">
        <v>7795</v>
      </c>
      <c r="D916" s="121" t="s">
        <v>7796</v>
      </c>
      <c r="E916" s="113">
        <v>18135677083</v>
      </c>
      <c r="F916" s="267">
        <v>3</v>
      </c>
      <c r="G916" s="268">
        <v>3251</v>
      </c>
      <c r="H916" s="274">
        <v>20.01</v>
      </c>
      <c r="I916" s="274" t="s">
        <v>2657</v>
      </c>
      <c r="J916" s="113" t="s">
        <v>7797</v>
      </c>
      <c r="K916" s="116">
        <v>22</v>
      </c>
      <c r="L916" s="266" t="s">
        <v>2785</v>
      </c>
      <c r="M916" s="266" t="s">
        <v>6642</v>
      </c>
      <c r="N916" s="113" t="s">
        <v>56</v>
      </c>
      <c r="O916" s="113"/>
      <c r="P916" s="113"/>
      <c r="Q916" s="113">
        <v>31345.45</v>
      </c>
      <c r="R916" s="113">
        <v>627222</v>
      </c>
      <c r="S916" s="121">
        <v>627222</v>
      </c>
      <c r="T916" s="292">
        <f t="shared" si="280"/>
        <v>0</v>
      </c>
      <c r="U916" s="113"/>
      <c r="V916" s="113">
        <v>1300</v>
      </c>
      <c r="W916" s="113">
        <v>550</v>
      </c>
      <c r="X916" s="113">
        <v>60528</v>
      </c>
      <c r="Y916" s="113" t="s">
        <v>2669</v>
      </c>
      <c r="Z916" s="113"/>
      <c r="AA916" s="113"/>
      <c r="AB916" s="113"/>
      <c r="AC916" s="246"/>
      <c r="AD916" s="353"/>
      <c r="AE916" s="115"/>
      <c r="AF916" s="115"/>
      <c r="AG916" s="115"/>
      <c r="AH916" s="115"/>
      <c r="AI916" s="132">
        <f t="shared" si="293"/>
        <v>689600</v>
      </c>
      <c r="AJ916" s="132">
        <f t="shared" si="294"/>
        <v>689600</v>
      </c>
      <c r="AK916" s="133">
        <f t="shared" si="295"/>
        <v>0</v>
      </c>
      <c r="AL916" s="115"/>
      <c r="AM916" s="115" t="s">
        <v>974</v>
      </c>
      <c r="AN916" s="246">
        <v>44886</v>
      </c>
      <c r="AO916" s="137"/>
      <c r="AP916" s="97"/>
      <c r="AQ916" s="97"/>
      <c r="AR916" s="97"/>
      <c r="AS916" s="97"/>
      <c r="AT916" s="97"/>
      <c r="AU916" s="97"/>
      <c r="AV916" s="97"/>
      <c r="AW916" s="97"/>
      <c r="AX916" s="97"/>
      <c r="AY916" s="97"/>
      <c r="AZ916" s="97"/>
      <c r="BA916" s="97"/>
      <c r="BB916" s="97"/>
      <c r="BC916" s="97"/>
      <c r="BD916" s="97"/>
      <c r="BE916" s="97"/>
    </row>
    <row r="917" s="97" customFormat="1" customHeight="1" spans="1:41">
      <c r="A917" s="106" t="s">
        <v>7798</v>
      </c>
      <c r="B917" s="111" t="s">
        <v>7799</v>
      </c>
      <c r="C917" s="554" t="s">
        <v>7800</v>
      </c>
      <c r="D917" s="113" t="s">
        <v>7801</v>
      </c>
      <c r="E917" s="113">
        <v>15639909808</v>
      </c>
      <c r="F917" s="267">
        <v>4</v>
      </c>
      <c r="G917" s="268">
        <v>448</v>
      </c>
      <c r="H917" s="274">
        <v>18.95</v>
      </c>
      <c r="I917" s="274" t="s">
        <v>2657</v>
      </c>
      <c r="J917" s="113" t="s">
        <v>7802</v>
      </c>
      <c r="K917" s="113">
        <v>16.8</v>
      </c>
      <c r="L917" s="266" t="s">
        <v>3096</v>
      </c>
      <c r="M917" s="266" t="s">
        <v>2961</v>
      </c>
      <c r="N917" s="113" t="s">
        <v>56</v>
      </c>
      <c r="O917" s="113"/>
      <c r="P917" s="113"/>
      <c r="Q917" s="113">
        <v>25245.95</v>
      </c>
      <c r="R917" s="113">
        <v>424132</v>
      </c>
      <c r="S917" s="121">
        <v>424132</v>
      </c>
      <c r="T917" s="292">
        <f t="shared" si="280"/>
        <v>0</v>
      </c>
      <c r="U917" s="113"/>
      <c r="V917" s="113"/>
      <c r="W917" s="113"/>
      <c r="X917" s="113"/>
      <c r="Y917" s="113"/>
      <c r="Z917" s="113"/>
      <c r="AA917" s="113"/>
      <c r="AB917" s="113"/>
      <c r="AC917" s="246"/>
      <c r="AD917" s="353"/>
      <c r="AE917" s="115"/>
      <c r="AF917" s="115"/>
      <c r="AG917" s="115"/>
      <c r="AH917" s="115"/>
      <c r="AI917" s="132">
        <f t="shared" si="293"/>
        <v>424132</v>
      </c>
      <c r="AJ917" s="132">
        <f t="shared" si="294"/>
        <v>424132</v>
      </c>
      <c r="AK917" s="133">
        <f t="shared" si="295"/>
        <v>0</v>
      </c>
      <c r="AL917" s="115"/>
      <c r="AM917" s="115" t="s">
        <v>974</v>
      </c>
      <c r="AN917" s="246">
        <v>44886</v>
      </c>
      <c r="AO917" s="137"/>
    </row>
    <row r="918" s="97" customFormat="1" customHeight="1" spans="1:41">
      <c r="A918" s="106" t="s">
        <v>7803</v>
      </c>
      <c r="B918" s="111" t="s">
        <v>7804</v>
      </c>
      <c r="C918" s="111" t="s">
        <v>7805</v>
      </c>
      <c r="D918" s="113" t="s">
        <v>7806</v>
      </c>
      <c r="E918" s="113">
        <v>18939438565</v>
      </c>
      <c r="F918" s="267">
        <v>4</v>
      </c>
      <c r="G918" s="268">
        <v>4475</v>
      </c>
      <c r="H918" s="274">
        <v>16.77</v>
      </c>
      <c r="I918" s="274" t="s">
        <v>2657</v>
      </c>
      <c r="J918" s="267" t="s">
        <v>7807</v>
      </c>
      <c r="K918" s="267">
        <v>15.82</v>
      </c>
      <c r="L918" s="266" t="s">
        <v>3471</v>
      </c>
      <c r="M918" s="266" t="s">
        <v>7808</v>
      </c>
      <c r="N918" s="113" t="s">
        <v>66</v>
      </c>
      <c r="O918" s="113"/>
      <c r="P918" s="113"/>
      <c r="Q918" s="113">
        <v>27174.21</v>
      </c>
      <c r="R918" s="113">
        <v>429896</v>
      </c>
      <c r="S918" s="121">
        <v>219896</v>
      </c>
      <c r="T918" s="292">
        <f t="shared" si="280"/>
        <v>210000</v>
      </c>
      <c r="U918" s="113"/>
      <c r="V918" s="113"/>
      <c r="W918" s="113"/>
      <c r="X918" s="113"/>
      <c r="Y918" s="113"/>
      <c r="Z918" s="113"/>
      <c r="AA918" s="113"/>
      <c r="AB918" s="113" t="s">
        <v>4984</v>
      </c>
      <c r="AC918" s="246"/>
      <c r="AD918" s="353"/>
      <c r="AE918" s="115"/>
      <c r="AF918" s="115"/>
      <c r="AG918" s="115"/>
      <c r="AH918" s="115"/>
      <c r="AI918" s="132">
        <f t="shared" si="293"/>
        <v>219896</v>
      </c>
      <c r="AJ918" s="132">
        <f t="shared" si="294"/>
        <v>219896</v>
      </c>
      <c r="AK918" s="133">
        <f t="shared" si="295"/>
        <v>0</v>
      </c>
      <c r="AL918" s="115"/>
      <c r="AM918" s="115" t="s">
        <v>974</v>
      </c>
      <c r="AN918" s="246">
        <v>44886</v>
      </c>
      <c r="AO918" s="137"/>
    </row>
    <row r="919" s="254" customFormat="1" customHeight="1" spans="1:41">
      <c r="A919" s="106" t="s">
        <v>7809</v>
      </c>
      <c r="B919" s="111" t="s">
        <v>7810</v>
      </c>
      <c r="C919" s="554" t="s">
        <v>7811</v>
      </c>
      <c r="D919" s="113" t="s">
        <v>7812</v>
      </c>
      <c r="E919" s="113">
        <v>18710298008</v>
      </c>
      <c r="F919" s="267">
        <v>1</v>
      </c>
      <c r="G919" s="268">
        <v>146</v>
      </c>
      <c r="H919" s="274">
        <v>35.86</v>
      </c>
      <c r="I919" s="274" t="s">
        <v>2657</v>
      </c>
      <c r="J919" s="113" t="s">
        <v>7813</v>
      </c>
      <c r="K919" s="116">
        <v>36.18</v>
      </c>
      <c r="L919" s="266" t="s">
        <v>2960</v>
      </c>
      <c r="M919" s="266" t="s">
        <v>3001</v>
      </c>
      <c r="N919" s="113" t="s">
        <v>66</v>
      </c>
      <c r="O919" s="113"/>
      <c r="P919" s="113"/>
      <c r="Q919" s="113">
        <v>46803.81</v>
      </c>
      <c r="R919" s="113">
        <v>1693362</v>
      </c>
      <c r="S919" s="121">
        <v>853362</v>
      </c>
      <c r="T919" s="292">
        <f t="shared" si="280"/>
        <v>840000</v>
      </c>
      <c r="U919" s="113"/>
      <c r="V919" s="113"/>
      <c r="W919" s="113"/>
      <c r="X919" s="113"/>
      <c r="Y919" s="113"/>
      <c r="Z919" s="113"/>
      <c r="AA919" s="113"/>
      <c r="AB919" s="113"/>
      <c r="AC919" s="246"/>
      <c r="AD919" s="353"/>
      <c r="AE919" s="115">
        <v>-20000</v>
      </c>
      <c r="AF919" s="115"/>
      <c r="AG919" s="115"/>
      <c r="AH919" s="115"/>
      <c r="AI919" s="132">
        <f t="shared" ref="AI919:AI931" si="296">S919+U919+V919+W919+X919+AC919+AD919+AE919</f>
        <v>833362</v>
      </c>
      <c r="AJ919" s="132">
        <f t="shared" ref="AJ919:AJ931" si="297">S919+U919+V919+W919+X919</f>
        <v>853362</v>
      </c>
      <c r="AK919" s="133">
        <f t="shared" ref="AK919:AK931" si="298">AI919-AJ919</f>
        <v>-20000</v>
      </c>
      <c r="AL919" s="155" t="s">
        <v>7814</v>
      </c>
      <c r="AM919" s="115" t="s">
        <v>974</v>
      </c>
      <c r="AN919" s="246">
        <v>44886</v>
      </c>
      <c r="AO919" s="137"/>
    </row>
    <row r="920" s="254" customFormat="1" customHeight="1" spans="1:41">
      <c r="A920" s="106" t="s">
        <v>7815</v>
      </c>
      <c r="B920" s="111" t="s">
        <v>7816</v>
      </c>
      <c r="C920" s="554" t="s">
        <v>7817</v>
      </c>
      <c r="D920" s="113" t="s">
        <v>7818</v>
      </c>
      <c r="E920" s="113">
        <v>13623944333</v>
      </c>
      <c r="F920" s="267">
        <v>1</v>
      </c>
      <c r="G920" s="268">
        <v>152</v>
      </c>
      <c r="H920" s="274">
        <v>28.12</v>
      </c>
      <c r="I920" s="274" t="s">
        <v>2657</v>
      </c>
      <c r="J920" s="113" t="s">
        <v>7819</v>
      </c>
      <c r="K920" s="116">
        <v>28.82</v>
      </c>
      <c r="L920" s="266" t="s">
        <v>3538</v>
      </c>
      <c r="M920" s="266" t="s">
        <v>4328</v>
      </c>
      <c r="N920" s="113" t="s">
        <v>66</v>
      </c>
      <c r="O920" s="113"/>
      <c r="P920" s="113"/>
      <c r="Q920" s="113">
        <v>46246.56</v>
      </c>
      <c r="R920" s="113">
        <v>1300453</v>
      </c>
      <c r="S920" s="121">
        <v>680453</v>
      </c>
      <c r="T920" s="292">
        <f t="shared" si="280"/>
        <v>620000</v>
      </c>
      <c r="U920" s="113"/>
      <c r="V920" s="113">
        <v>1827</v>
      </c>
      <c r="W920" s="113">
        <v>550</v>
      </c>
      <c r="X920" s="113"/>
      <c r="Y920" s="113" t="s">
        <v>2669</v>
      </c>
      <c r="Z920" s="113"/>
      <c r="AA920" s="113"/>
      <c r="AB920" s="113"/>
      <c r="AC920" s="246"/>
      <c r="AD920" s="353"/>
      <c r="AE920" s="115"/>
      <c r="AF920" s="115"/>
      <c r="AG920" s="115"/>
      <c r="AH920" s="115"/>
      <c r="AI920" s="132">
        <f t="shared" si="296"/>
        <v>682830</v>
      </c>
      <c r="AJ920" s="132">
        <f t="shared" si="297"/>
        <v>682830</v>
      </c>
      <c r="AK920" s="133">
        <f t="shared" si="298"/>
        <v>0</v>
      </c>
      <c r="AL920" s="155"/>
      <c r="AM920" s="115" t="s">
        <v>974</v>
      </c>
      <c r="AN920" s="246">
        <v>44886</v>
      </c>
      <c r="AO920" s="137"/>
    </row>
    <row r="921" s="254" customFormat="1" customHeight="1" spans="1:41">
      <c r="A921" s="106" t="s">
        <v>7820</v>
      </c>
      <c r="B921" s="111" t="s">
        <v>7821</v>
      </c>
      <c r="C921" s="554" t="s">
        <v>7822</v>
      </c>
      <c r="D921" s="113" t="s">
        <v>7823</v>
      </c>
      <c r="E921" s="113">
        <v>13146620970</v>
      </c>
      <c r="F921" s="267">
        <v>1</v>
      </c>
      <c r="G921" s="268">
        <v>1581</v>
      </c>
      <c r="H921" s="274">
        <v>24.72</v>
      </c>
      <c r="I921" s="274" t="s">
        <v>2657</v>
      </c>
      <c r="J921" s="113" t="s">
        <v>7824</v>
      </c>
      <c r="K921" s="116">
        <v>27.8</v>
      </c>
      <c r="L921" s="266" t="s">
        <v>2675</v>
      </c>
      <c r="M921" s="266" t="s">
        <v>7160</v>
      </c>
      <c r="N921" s="113" t="s">
        <v>56</v>
      </c>
      <c r="O921" s="113"/>
      <c r="P921" s="113"/>
      <c r="Q921" s="113">
        <v>46870.83</v>
      </c>
      <c r="R921" s="113">
        <v>1158647</v>
      </c>
      <c r="S921" s="121">
        <v>1158647</v>
      </c>
      <c r="T921" s="292">
        <f t="shared" si="280"/>
        <v>0</v>
      </c>
      <c r="U921" s="113"/>
      <c r="V921" s="113">
        <v>1606</v>
      </c>
      <c r="W921" s="113">
        <v>550</v>
      </c>
      <c r="X921" s="113"/>
      <c r="Y921" s="113" t="s">
        <v>2669</v>
      </c>
      <c r="Z921" s="113" t="s">
        <v>48</v>
      </c>
      <c r="AA921" s="304">
        <v>44046</v>
      </c>
      <c r="AB921" s="113"/>
      <c r="AC921" s="246"/>
      <c r="AD921" s="115"/>
      <c r="AE921" s="115"/>
      <c r="AF921" s="115"/>
      <c r="AG921" s="115"/>
      <c r="AH921" s="115"/>
      <c r="AI921" s="132">
        <f t="shared" si="296"/>
        <v>1160803</v>
      </c>
      <c r="AJ921" s="132">
        <f t="shared" si="297"/>
        <v>1160803</v>
      </c>
      <c r="AK921" s="133">
        <f t="shared" si="298"/>
        <v>0</v>
      </c>
      <c r="AL921" s="155" t="s">
        <v>7825</v>
      </c>
      <c r="AM921" s="115" t="s">
        <v>974</v>
      </c>
      <c r="AN921" s="246">
        <v>44886</v>
      </c>
      <c r="AO921" s="137"/>
    </row>
    <row r="922" s="254" customFormat="1" customHeight="1" spans="1:57">
      <c r="A922" s="106" t="s">
        <v>7826</v>
      </c>
      <c r="B922" s="111" t="s">
        <v>7827</v>
      </c>
      <c r="C922" s="554" t="s">
        <v>7828</v>
      </c>
      <c r="D922" s="113" t="s">
        <v>7823</v>
      </c>
      <c r="E922" s="113">
        <v>13146620970</v>
      </c>
      <c r="F922" s="267">
        <v>1</v>
      </c>
      <c r="G922" s="268">
        <v>1638</v>
      </c>
      <c r="H922" s="274">
        <v>18.4</v>
      </c>
      <c r="I922" s="274" t="s">
        <v>2657</v>
      </c>
      <c r="J922" s="113" t="s">
        <v>7829</v>
      </c>
      <c r="K922" s="113">
        <v>18.93</v>
      </c>
      <c r="L922" s="266" t="s">
        <v>2675</v>
      </c>
      <c r="M922" s="266" t="s">
        <v>7160</v>
      </c>
      <c r="N922" s="113" t="s">
        <v>56</v>
      </c>
      <c r="O922" s="113"/>
      <c r="P922" s="113"/>
      <c r="Q922" s="113">
        <v>45774.24</v>
      </c>
      <c r="R922" s="113">
        <v>842246</v>
      </c>
      <c r="S922" s="121">
        <v>842246</v>
      </c>
      <c r="T922" s="292">
        <f t="shared" si="280"/>
        <v>0</v>
      </c>
      <c r="U922" s="113"/>
      <c r="V922" s="113">
        <v>1196</v>
      </c>
      <c r="W922" s="113">
        <v>560</v>
      </c>
      <c r="X922" s="113"/>
      <c r="Y922" s="113" t="s">
        <v>2669</v>
      </c>
      <c r="Z922" s="113" t="s">
        <v>48</v>
      </c>
      <c r="AA922" s="305">
        <v>44046</v>
      </c>
      <c r="AB922" s="113"/>
      <c r="AC922" s="246"/>
      <c r="AD922" s="115"/>
      <c r="AE922" s="115"/>
      <c r="AF922" s="115"/>
      <c r="AG922" s="115"/>
      <c r="AH922" s="115"/>
      <c r="AI922" s="132">
        <f t="shared" si="296"/>
        <v>844002</v>
      </c>
      <c r="AJ922" s="132">
        <f t="shared" si="297"/>
        <v>844002</v>
      </c>
      <c r="AK922" s="133">
        <f t="shared" si="298"/>
        <v>0</v>
      </c>
      <c r="AL922" s="155" t="s">
        <v>7825</v>
      </c>
      <c r="AM922" s="115" t="s">
        <v>974</v>
      </c>
      <c r="AN922" s="246">
        <v>44886</v>
      </c>
      <c r="AO922" s="137"/>
      <c r="AP922" s="97"/>
      <c r="AQ922" s="97"/>
      <c r="AR922" s="97"/>
      <c r="AS922" s="97"/>
      <c r="AT922" s="97"/>
      <c r="AU922" s="97"/>
      <c r="AV922" s="97"/>
      <c r="AW922" s="97"/>
      <c r="AX922" s="97"/>
      <c r="AY922" s="97"/>
      <c r="AZ922" s="97"/>
      <c r="BA922" s="97"/>
      <c r="BB922" s="97"/>
      <c r="BC922" s="97"/>
      <c r="BD922" s="97"/>
      <c r="BE922" s="97"/>
    </row>
    <row r="923" s="254" customFormat="1" customHeight="1" spans="1:57">
      <c r="A923" s="106" t="s">
        <v>7830</v>
      </c>
      <c r="B923" s="111" t="s">
        <v>7831</v>
      </c>
      <c r="C923" s="111" t="s">
        <v>7832</v>
      </c>
      <c r="D923" s="113" t="s">
        <v>7833</v>
      </c>
      <c r="E923" s="113">
        <v>13526243788</v>
      </c>
      <c r="F923" s="267">
        <v>1</v>
      </c>
      <c r="G923" s="268">
        <v>1532</v>
      </c>
      <c r="H923" s="274">
        <v>12.27</v>
      </c>
      <c r="I923" s="274" t="s">
        <v>2657</v>
      </c>
      <c r="J923" s="113" t="s">
        <v>7834</v>
      </c>
      <c r="K923" s="116">
        <v>11.08</v>
      </c>
      <c r="L923" s="266" t="s">
        <v>3230</v>
      </c>
      <c r="M923" s="266" t="s">
        <v>2883</v>
      </c>
      <c r="N923" s="113" t="s">
        <v>66</v>
      </c>
      <c r="O923" s="113"/>
      <c r="P923" s="113"/>
      <c r="Q923" s="113">
        <v>48218.66</v>
      </c>
      <c r="R923" s="113">
        <v>591643</v>
      </c>
      <c r="S923" s="121">
        <v>301643</v>
      </c>
      <c r="T923" s="292">
        <f t="shared" si="280"/>
        <v>290000</v>
      </c>
      <c r="U923" s="267"/>
      <c r="V923" s="267">
        <v>797</v>
      </c>
      <c r="W923" s="267">
        <v>560</v>
      </c>
      <c r="X923" s="267"/>
      <c r="Y923" s="267" t="s">
        <v>2669</v>
      </c>
      <c r="Z923" s="267" t="s">
        <v>48</v>
      </c>
      <c r="AA923" s="305">
        <v>44076</v>
      </c>
      <c r="AB923" s="267"/>
      <c r="AC923" s="246"/>
      <c r="AD923" s="115"/>
      <c r="AE923" s="115"/>
      <c r="AF923" s="115"/>
      <c r="AG923" s="115"/>
      <c r="AH923" s="115"/>
      <c r="AI923" s="132">
        <f t="shared" si="296"/>
        <v>303000</v>
      </c>
      <c r="AJ923" s="132">
        <f t="shared" si="297"/>
        <v>303000</v>
      </c>
      <c r="AK923" s="133">
        <f t="shared" si="298"/>
        <v>0</v>
      </c>
      <c r="AL923" s="155"/>
      <c r="AM923" s="115" t="s">
        <v>974</v>
      </c>
      <c r="AN923" s="246">
        <v>44886</v>
      </c>
      <c r="AO923" s="137"/>
      <c r="AP923" s="97"/>
      <c r="AQ923" s="97"/>
      <c r="AR923" s="97"/>
      <c r="AS923" s="97"/>
      <c r="AT923" s="97"/>
      <c r="AU923" s="97"/>
      <c r="AV923" s="97"/>
      <c r="AW923" s="97"/>
      <c r="AX923" s="97"/>
      <c r="AY923" s="97"/>
      <c r="AZ923" s="97"/>
      <c r="BA923" s="97"/>
      <c r="BB923" s="97"/>
      <c r="BC923" s="97"/>
      <c r="BD923" s="97"/>
      <c r="BE923" s="97"/>
    </row>
    <row r="924" s="254" customFormat="1" customHeight="1" spans="1:57">
      <c r="A924" s="106" t="s">
        <v>7835</v>
      </c>
      <c r="B924" s="111" t="s">
        <v>7836</v>
      </c>
      <c r="C924" s="111" t="s">
        <v>7837</v>
      </c>
      <c r="D924" s="121" t="s">
        <v>7838</v>
      </c>
      <c r="E924" s="113">
        <v>19939108570</v>
      </c>
      <c r="F924" s="267">
        <v>3</v>
      </c>
      <c r="G924" s="268">
        <v>3851</v>
      </c>
      <c r="H924" s="274">
        <v>17.31</v>
      </c>
      <c r="I924" s="274" t="s">
        <v>2657</v>
      </c>
      <c r="J924" s="113" t="s">
        <v>7839</v>
      </c>
      <c r="K924" s="113">
        <v>16.67</v>
      </c>
      <c r="L924" s="266" t="s">
        <v>2785</v>
      </c>
      <c r="M924" s="266" t="s">
        <v>7840</v>
      </c>
      <c r="N924" s="113" t="s">
        <v>66</v>
      </c>
      <c r="O924" s="113"/>
      <c r="P924" s="113"/>
      <c r="Q924" s="113">
        <v>32000</v>
      </c>
      <c r="R924" s="113">
        <v>551118</v>
      </c>
      <c r="S924" s="121">
        <v>283920</v>
      </c>
      <c r="T924" s="292">
        <f t="shared" si="280"/>
        <v>267198</v>
      </c>
      <c r="U924" s="113"/>
      <c r="V924" s="113">
        <v>1125</v>
      </c>
      <c r="W924" s="113">
        <v>560</v>
      </c>
      <c r="X924" s="113"/>
      <c r="Y924" s="113"/>
      <c r="Z924" s="113"/>
      <c r="AA924" s="113"/>
      <c r="AB924" s="267"/>
      <c r="AC924" s="246"/>
      <c r="AD924" s="115"/>
      <c r="AE924" s="115"/>
      <c r="AF924" s="115"/>
      <c r="AG924" s="115"/>
      <c r="AH924" s="115"/>
      <c r="AI924" s="132">
        <f t="shared" si="296"/>
        <v>285605</v>
      </c>
      <c r="AJ924" s="132">
        <f t="shared" si="297"/>
        <v>285605</v>
      </c>
      <c r="AK924" s="133">
        <f t="shared" si="298"/>
        <v>0</v>
      </c>
      <c r="AL924" s="155"/>
      <c r="AM924" s="115" t="s">
        <v>974</v>
      </c>
      <c r="AN924" s="246">
        <v>44886</v>
      </c>
      <c r="AO924" s="137"/>
      <c r="AP924" s="97"/>
      <c r="AQ924" s="97"/>
      <c r="AR924" s="97"/>
      <c r="AS924" s="97"/>
      <c r="AT924" s="97"/>
      <c r="AU924" s="97"/>
      <c r="AV924" s="97"/>
      <c r="AW924" s="97"/>
      <c r="AX924" s="97"/>
      <c r="AY924" s="97"/>
      <c r="AZ924" s="97"/>
      <c r="BA924" s="97"/>
      <c r="BB924" s="97"/>
      <c r="BC924" s="97"/>
      <c r="BD924" s="97"/>
      <c r="BE924" s="97"/>
    </row>
    <row r="925" s="256" customFormat="1" customHeight="1" spans="1:57">
      <c r="A925" s="106" t="s">
        <v>7841</v>
      </c>
      <c r="B925" s="111" t="s">
        <v>7842</v>
      </c>
      <c r="C925" s="111" t="s">
        <v>7843</v>
      </c>
      <c r="D925" s="121" t="s">
        <v>7844</v>
      </c>
      <c r="E925" s="113">
        <v>13721891897</v>
      </c>
      <c r="F925" s="267">
        <v>3</v>
      </c>
      <c r="G925" s="268">
        <v>3408</v>
      </c>
      <c r="H925" s="274">
        <v>13.39</v>
      </c>
      <c r="I925" s="274" t="s">
        <v>2657</v>
      </c>
      <c r="J925" s="113" t="s">
        <v>7845</v>
      </c>
      <c r="K925" s="113">
        <v>13.55</v>
      </c>
      <c r="L925" s="266" t="s">
        <v>4728</v>
      </c>
      <c r="M925" s="266" t="s">
        <v>4771</v>
      </c>
      <c r="N925" s="113" t="s">
        <v>66</v>
      </c>
      <c r="O925" s="113"/>
      <c r="P925" s="113"/>
      <c r="Q925" s="113">
        <v>32103.32</v>
      </c>
      <c r="R925" s="113">
        <v>435000</v>
      </c>
      <c r="S925" s="121">
        <v>225000</v>
      </c>
      <c r="T925" s="292">
        <f t="shared" si="280"/>
        <v>210000</v>
      </c>
      <c r="U925" s="113"/>
      <c r="V925" s="113"/>
      <c r="W925" s="113"/>
      <c r="X925" s="113"/>
      <c r="Y925" s="113"/>
      <c r="Z925" s="113"/>
      <c r="AA925" s="113"/>
      <c r="AB925" s="113"/>
      <c r="AC925" s="246"/>
      <c r="AD925" s="115"/>
      <c r="AE925" s="115"/>
      <c r="AF925" s="115"/>
      <c r="AG925" s="115"/>
      <c r="AH925" s="115"/>
      <c r="AI925" s="132">
        <f t="shared" si="296"/>
        <v>225000</v>
      </c>
      <c r="AJ925" s="132">
        <f t="shared" si="297"/>
        <v>225000</v>
      </c>
      <c r="AK925" s="133">
        <f t="shared" si="298"/>
        <v>0</v>
      </c>
      <c r="AL925" s="155"/>
      <c r="AM925" s="115" t="s">
        <v>974</v>
      </c>
      <c r="AN925" s="246">
        <v>44886</v>
      </c>
      <c r="AO925" s="137"/>
      <c r="AP925" s="97"/>
      <c r="AQ925" s="97"/>
      <c r="AR925" s="97"/>
      <c r="AS925" s="97"/>
      <c r="AT925" s="97"/>
      <c r="AU925" s="97"/>
      <c r="AV925" s="97"/>
      <c r="AW925" s="97"/>
      <c r="AX925" s="97"/>
      <c r="AY925" s="97"/>
      <c r="AZ925" s="97"/>
      <c r="BA925" s="97"/>
      <c r="BB925" s="97"/>
      <c r="BC925" s="97"/>
      <c r="BD925" s="97"/>
      <c r="BE925" s="97"/>
    </row>
    <row r="926" s="97" customFormat="1" customHeight="1" spans="1:41">
      <c r="A926" s="106" t="s">
        <v>7846</v>
      </c>
      <c r="B926" s="336" t="s">
        <v>7847</v>
      </c>
      <c r="C926" s="336" t="s">
        <v>7848</v>
      </c>
      <c r="D926" s="266" t="s">
        <v>7849</v>
      </c>
      <c r="E926" s="266" t="s">
        <v>7850</v>
      </c>
      <c r="F926" s="267">
        <v>4</v>
      </c>
      <c r="G926" s="268">
        <v>4160</v>
      </c>
      <c r="H926" s="274">
        <v>29.07</v>
      </c>
      <c r="I926" s="274" t="s">
        <v>2665</v>
      </c>
      <c r="J926" s="113" t="s">
        <v>7851</v>
      </c>
      <c r="K926" s="116">
        <v>25.2</v>
      </c>
      <c r="L926" s="266" t="s">
        <v>2712</v>
      </c>
      <c r="M926" s="266"/>
      <c r="N926" s="266" t="s">
        <v>56</v>
      </c>
      <c r="O926" s="266"/>
      <c r="P926" s="266"/>
      <c r="Q926" s="116">
        <v>25553.37</v>
      </c>
      <c r="R926" s="121">
        <v>643945</v>
      </c>
      <c r="S926" s="121">
        <v>643945</v>
      </c>
      <c r="T926" s="292">
        <f t="shared" si="280"/>
        <v>0</v>
      </c>
      <c r="U926" s="113"/>
      <c r="V926" s="113"/>
      <c r="W926" s="113"/>
      <c r="X926" s="113"/>
      <c r="Y926" s="113"/>
      <c r="Z926" s="113"/>
      <c r="AA926" s="113"/>
      <c r="AB926" s="266"/>
      <c r="AC926" s="246"/>
      <c r="AD926" s="115"/>
      <c r="AE926" s="115"/>
      <c r="AF926" s="115"/>
      <c r="AG926" s="115"/>
      <c r="AH926" s="115"/>
      <c r="AI926" s="132">
        <f t="shared" si="296"/>
        <v>643945</v>
      </c>
      <c r="AJ926" s="132">
        <f t="shared" si="297"/>
        <v>643945</v>
      </c>
      <c r="AK926" s="133">
        <f t="shared" si="298"/>
        <v>0</v>
      </c>
      <c r="AL926" s="155" t="s">
        <v>7852</v>
      </c>
      <c r="AM926" s="115" t="s">
        <v>974</v>
      </c>
      <c r="AN926" s="246">
        <v>44886</v>
      </c>
      <c r="AO926" s="137"/>
    </row>
    <row r="927" s="97" customFormat="1" customHeight="1" spans="1:41">
      <c r="A927" s="115" t="s">
        <v>7853</v>
      </c>
      <c r="B927" s="111" t="s">
        <v>7854</v>
      </c>
      <c r="C927" s="111" t="s">
        <v>7855</v>
      </c>
      <c r="D927" s="121" t="s">
        <v>7856</v>
      </c>
      <c r="E927" s="113">
        <v>13523858082</v>
      </c>
      <c r="F927" s="267">
        <v>3</v>
      </c>
      <c r="G927" s="268">
        <v>3754</v>
      </c>
      <c r="H927" s="274">
        <v>18.78</v>
      </c>
      <c r="I927" s="274" t="s">
        <v>2657</v>
      </c>
      <c r="J927" s="113" t="s">
        <v>7857</v>
      </c>
      <c r="K927" s="113">
        <v>20.04</v>
      </c>
      <c r="L927" s="266" t="s">
        <v>2968</v>
      </c>
      <c r="M927" s="266" t="s">
        <v>2739</v>
      </c>
      <c r="N927" s="113" t="s">
        <v>66</v>
      </c>
      <c r="O927" s="113"/>
      <c r="P927" s="113"/>
      <c r="Q927" s="113">
        <v>31437.13</v>
      </c>
      <c r="R927" s="113">
        <v>630000</v>
      </c>
      <c r="S927" s="121">
        <v>320000</v>
      </c>
      <c r="T927" s="292">
        <f t="shared" si="280"/>
        <v>310000</v>
      </c>
      <c r="U927" s="113"/>
      <c r="V927" s="113"/>
      <c r="W927" s="113"/>
      <c r="X927" s="113"/>
      <c r="Y927" s="113"/>
      <c r="Z927" s="113"/>
      <c r="AA927" s="113"/>
      <c r="AB927" s="113"/>
      <c r="AC927" s="113">
        <v>28632</v>
      </c>
      <c r="AD927" s="113"/>
      <c r="AE927" s="133"/>
      <c r="AF927" s="115"/>
      <c r="AG927" s="133"/>
      <c r="AH927" s="133"/>
      <c r="AI927" s="132">
        <f t="shared" si="296"/>
        <v>348632</v>
      </c>
      <c r="AJ927" s="132">
        <f t="shared" si="297"/>
        <v>320000</v>
      </c>
      <c r="AK927" s="133">
        <f t="shared" si="298"/>
        <v>28632</v>
      </c>
      <c r="AL927" s="132"/>
      <c r="AM927" s="133" t="s">
        <v>900</v>
      </c>
      <c r="AN927" s="246">
        <v>44886</v>
      </c>
      <c r="AO927" s="137"/>
    </row>
    <row r="928" s="97" customFormat="1" customHeight="1" spans="1:41">
      <c r="A928" s="115" t="s">
        <v>7858</v>
      </c>
      <c r="B928" s="296" t="s">
        <v>7859</v>
      </c>
      <c r="C928" s="556" t="s">
        <v>7860</v>
      </c>
      <c r="D928" s="267" t="s">
        <v>7861</v>
      </c>
      <c r="E928" s="267">
        <v>13838749748</v>
      </c>
      <c r="F928" s="267">
        <v>1</v>
      </c>
      <c r="G928" s="268">
        <v>110</v>
      </c>
      <c r="H928" s="274">
        <v>27</v>
      </c>
      <c r="I928" s="274" t="s">
        <v>2665</v>
      </c>
      <c r="J928" s="267" t="s">
        <v>7862</v>
      </c>
      <c r="K928" s="326">
        <v>28.63</v>
      </c>
      <c r="L928" s="268" t="s">
        <v>2711</v>
      </c>
      <c r="M928" s="268" t="s">
        <v>7863</v>
      </c>
      <c r="N928" s="267" t="s">
        <v>56</v>
      </c>
      <c r="O928" s="267"/>
      <c r="P928" s="267"/>
      <c r="Q928" s="274">
        <v>46660.8452672022</v>
      </c>
      <c r="R928" s="267">
        <v>1259843</v>
      </c>
      <c r="S928" s="292">
        <v>1259843</v>
      </c>
      <c r="T928" s="292">
        <f t="shared" si="280"/>
        <v>0</v>
      </c>
      <c r="U928" s="267"/>
      <c r="V928" s="267">
        <v>1755</v>
      </c>
      <c r="W928" s="267">
        <v>560</v>
      </c>
      <c r="X928" s="267">
        <v>73742</v>
      </c>
      <c r="Y928" s="267" t="s">
        <v>2669</v>
      </c>
      <c r="Z928" s="113" t="s">
        <v>48</v>
      </c>
      <c r="AA928" s="305">
        <v>44052</v>
      </c>
      <c r="AB928" s="267"/>
      <c r="AC928" s="113"/>
      <c r="AD928" s="113"/>
      <c r="AE928" s="133"/>
      <c r="AF928" s="115"/>
      <c r="AG928" s="133"/>
      <c r="AH928" s="133"/>
      <c r="AI928" s="132">
        <f t="shared" si="296"/>
        <v>1335900</v>
      </c>
      <c r="AJ928" s="132">
        <f t="shared" si="297"/>
        <v>1335900</v>
      </c>
      <c r="AK928" s="133">
        <f t="shared" si="298"/>
        <v>0</v>
      </c>
      <c r="AL928" s="132"/>
      <c r="AM928" s="133" t="s">
        <v>900</v>
      </c>
      <c r="AN928" s="246">
        <v>44886</v>
      </c>
      <c r="AO928" s="137"/>
    </row>
    <row r="929" s="254" customFormat="1" customHeight="1" spans="1:57">
      <c r="A929" s="115" t="s">
        <v>7864</v>
      </c>
      <c r="B929" s="111" t="s">
        <v>7865</v>
      </c>
      <c r="C929" s="554" t="s">
        <v>7866</v>
      </c>
      <c r="D929" s="113" t="s">
        <v>7867</v>
      </c>
      <c r="E929" s="113">
        <v>13513772558</v>
      </c>
      <c r="F929" s="267">
        <v>1</v>
      </c>
      <c r="G929" s="268">
        <v>1597</v>
      </c>
      <c r="H929" s="274">
        <v>20.92</v>
      </c>
      <c r="I929" s="274" t="s">
        <v>2657</v>
      </c>
      <c r="J929" s="113" t="s">
        <v>7868</v>
      </c>
      <c r="K929" s="116">
        <v>22.66</v>
      </c>
      <c r="L929" s="266" t="s">
        <v>2762</v>
      </c>
      <c r="M929" s="266" t="s">
        <v>2835</v>
      </c>
      <c r="N929" s="113" t="s">
        <v>66</v>
      </c>
      <c r="O929" s="113"/>
      <c r="P929" s="113"/>
      <c r="Q929" s="113">
        <v>47403.84</v>
      </c>
      <c r="R929" s="113">
        <v>991688</v>
      </c>
      <c r="S929" s="121">
        <v>551688</v>
      </c>
      <c r="T929" s="292">
        <f t="shared" si="280"/>
        <v>440000</v>
      </c>
      <c r="U929" s="113"/>
      <c r="V929" s="113">
        <v>1359</v>
      </c>
      <c r="W929" s="113">
        <v>550</v>
      </c>
      <c r="X929" s="113"/>
      <c r="Y929" s="113" t="s">
        <v>2669</v>
      </c>
      <c r="Z929" s="113"/>
      <c r="AA929" s="113"/>
      <c r="AB929" s="113"/>
      <c r="AC929" s="113">
        <v>1264</v>
      </c>
      <c r="AD929" s="113"/>
      <c r="AE929" s="133"/>
      <c r="AF929" s="115"/>
      <c r="AG929" s="133"/>
      <c r="AH929" s="133"/>
      <c r="AI929" s="132">
        <f t="shared" si="296"/>
        <v>554861</v>
      </c>
      <c r="AJ929" s="132">
        <f t="shared" si="297"/>
        <v>553597</v>
      </c>
      <c r="AK929" s="133">
        <f t="shared" si="298"/>
        <v>1264</v>
      </c>
      <c r="AL929" s="132"/>
      <c r="AM929" s="133" t="s">
        <v>900</v>
      </c>
      <c r="AN929" s="246">
        <v>44886</v>
      </c>
      <c r="AO929" s="137"/>
      <c r="AP929" s="97"/>
      <c r="AQ929" s="97"/>
      <c r="AR929" s="97"/>
      <c r="AS929" s="97"/>
      <c r="AT929" s="97"/>
      <c r="AU929" s="97"/>
      <c r="AV929" s="97"/>
      <c r="AW929" s="97"/>
      <c r="AX929" s="97"/>
      <c r="AY929" s="97"/>
      <c r="AZ929" s="97"/>
      <c r="BA929" s="97"/>
      <c r="BB929" s="97"/>
      <c r="BC929" s="97"/>
      <c r="BD929" s="97"/>
      <c r="BE929" s="97"/>
    </row>
    <row r="930" s="97" customFormat="1" customHeight="1" spans="1:41">
      <c r="A930" s="115" t="s">
        <v>7869</v>
      </c>
      <c r="B930" s="296" t="s">
        <v>7870</v>
      </c>
      <c r="C930" s="556" t="s">
        <v>7871</v>
      </c>
      <c r="D930" s="267" t="s">
        <v>7872</v>
      </c>
      <c r="E930" s="267" t="s">
        <v>7873</v>
      </c>
      <c r="F930" s="267">
        <v>4</v>
      </c>
      <c r="G930" s="268">
        <v>4110</v>
      </c>
      <c r="H930" s="274">
        <v>24.43</v>
      </c>
      <c r="I930" s="274" t="s">
        <v>2665</v>
      </c>
      <c r="J930" s="267" t="s">
        <v>7874</v>
      </c>
      <c r="K930" s="326">
        <v>30.2</v>
      </c>
      <c r="L930" s="268" t="s">
        <v>2711</v>
      </c>
      <c r="M930" s="268" t="s">
        <v>4028</v>
      </c>
      <c r="N930" s="267" t="s">
        <v>56</v>
      </c>
      <c r="O930" s="267"/>
      <c r="P930" s="267"/>
      <c r="Q930" s="274">
        <v>19419.1390728477</v>
      </c>
      <c r="R930" s="267">
        <v>586458</v>
      </c>
      <c r="S930" s="292">
        <v>586458</v>
      </c>
      <c r="T930" s="292">
        <f t="shared" si="280"/>
        <v>0</v>
      </c>
      <c r="U930" s="267"/>
      <c r="V930" s="267"/>
      <c r="W930" s="267"/>
      <c r="X930" s="267"/>
      <c r="Y930" s="267"/>
      <c r="Z930" s="267"/>
      <c r="AA930" s="267"/>
      <c r="AB930" s="267"/>
      <c r="AC930" s="113"/>
      <c r="AD930" s="113"/>
      <c r="AE930" s="133"/>
      <c r="AF930" s="115"/>
      <c r="AG930" s="133"/>
      <c r="AH930" s="133"/>
      <c r="AI930" s="132">
        <f t="shared" si="296"/>
        <v>586458</v>
      </c>
      <c r="AJ930" s="132">
        <f t="shared" si="297"/>
        <v>586458</v>
      </c>
      <c r="AK930" s="133">
        <f t="shared" si="298"/>
        <v>0</v>
      </c>
      <c r="AL930" s="132"/>
      <c r="AM930" s="133" t="s">
        <v>900</v>
      </c>
      <c r="AN930" s="246">
        <v>44886</v>
      </c>
      <c r="AO930" s="137"/>
    </row>
    <row r="931" s="97" customFormat="1" customHeight="1" spans="1:41">
      <c r="A931" s="115" t="s">
        <v>7875</v>
      </c>
      <c r="B931" s="111" t="s">
        <v>7876</v>
      </c>
      <c r="C931" s="111" t="s">
        <v>7877</v>
      </c>
      <c r="D931" s="121" t="s">
        <v>7878</v>
      </c>
      <c r="E931" s="113">
        <v>18790297166</v>
      </c>
      <c r="F931" s="267">
        <v>3</v>
      </c>
      <c r="G931" s="268">
        <v>3299</v>
      </c>
      <c r="H931" s="274">
        <v>13.91</v>
      </c>
      <c r="I931" s="274" t="s">
        <v>2657</v>
      </c>
      <c r="J931" s="113" t="s">
        <v>7879</v>
      </c>
      <c r="K931" s="116">
        <v>13.49</v>
      </c>
      <c r="L931" s="266" t="s">
        <v>3060</v>
      </c>
      <c r="M931" s="266" t="s">
        <v>3319</v>
      </c>
      <c r="N931" s="113" t="s">
        <v>66</v>
      </c>
      <c r="O931" s="113"/>
      <c r="P931" s="113"/>
      <c r="Q931" s="113">
        <v>31764.27</v>
      </c>
      <c r="R931" s="113">
        <v>441841</v>
      </c>
      <c r="S931" s="121">
        <v>221841</v>
      </c>
      <c r="T931" s="292">
        <f t="shared" si="280"/>
        <v>220000</v>
      </c>
      <c r="U931" s="113"/>
      <c r="V931" s="113">
        <v>904</v>
      </c>
      <c r="W931" s="113">
        <v>550</v>
      </c>
      <c r="X931" s="113"/>
      <c r="Y931" s="113" t="s">
        <v>2669</v>
      </c>
      <c r="Z931" s="113"/>
      <c r="AA931" s="113"/>
      <c r="AB931" s="113"/>
      <c r="AC931" s="113"/>
      <c r="AD931" s="113"/>
      <c r="AE931" s="133"/>
      <c r="AF931" s="115"/>
      <c r="AG931" s="133"/>
      <c r="AH931" s="133"/>
      <c r="AI931" s="132">
        <f t="shared" si="296"/>
        <v>223295</v>
      </c>
      <c r="AJ931" s="132">
        <f t="shared" si="297"/>
        <v>223295</v>
      </c>
      <c r="AK931" s="133">
        <f t="shared" si="298"/>
        <v>0</v>
      </c>
      <c r="AL931" s="132"/>
      <c r="AM931" s="133" t="s">
        <v>900</v>
      </c>
      <c r="AN931" s="246">
        <v>44886</v>
      </c>
      <c r="AO931" s="137"/>
    </row>
    <row r="932" s="97" customFormat="1" customHeight="1" spans="1:41">
      <c r="A932" s="115" t="s">
        <v>7880</v>
      </c>
      <c r="B932" s="296" t="s">
        <v>7881</v>
      </c>
      <c r="C932" s="556" t="s">
        <v>7882</v>
      </c>
      <c r="D932" s="267" t="s">
        <v>7883</v>
      </c>
      <c r="E932" s="267" t="s">
        <v>7884</v>
      </c>
      <c r="F932" s="267">
        <v>4</v>
      </c>
      <c r="G932" s="268">
        <v>426</v>
      </c>
      <c r="H932" s="274">
        <v>34.65</v>
      </c>
      <c r="I932" s="274" t="s">
        <v>2665</v>
      </c>
      <c r="J932" s="267" t="s">
        <v>7885</v>
      </c>
      <c r="K932" s="326">
        <v>39.03</v>
      </c>
      <c r="L932" s="268" t="s">
        <v>7886</v>
      </c>
      <c r="M932" s="268" t="s">
        <v>2883</v>
      </c>
      <c r="N932" s="267" t="s">
        <v>56</v>
      </c>
      <c r="O932" s="267"/>
      <c r="P932" s="267"/>
      <c r="Q932" s="274">
        <v>21582.78</v>
      </c>
      <c r="R932" s="267">
        <v>747843</v>
      </c>
      <c r="S932" s="292">
        <v>747843</v>
      </c>
      <c r="T932" s="292">
        <f t="shared" si="280"/>
        <v>0</v>
      </c>
      <c r="U932" s="267"/>
      <c r="V932" s="267">
        <v>2252</v>
      </c>
      <c r="W932" s="267">
        <v>550</v>
      </c>
      <c r="X932" s="267"/>
      <c r="Y932" s="267" t="s">
        <v>2669</v>
      </c>
      <c r="Z932" s="267" t="s">
        <v>48</v>
      </c>
      <c r="AA932" s="304">
        <v>44141</v>
      </c>
      <c r="AB932" s="267" t="s">
        <v>7887</v>
      </c>
      <c r="AC932" s="113"/>
      <c r="AD932" s="113"/>
      <c r="AE932" s="133"/>
      <c r="AF932" s="115"/>
      <c r="AG932" s="133"/>
      <c r="AH932" s="133"/>
      <c r="AI932" s="132">
        <f t="shared" ref="AI932:AI945" si="299">S932+U932+V932+W932+X932+AC932+AD932+AE932</f>
        <v>750645</v>
      </c>
      <c r="AJ932" s="132">
        <f t="shared" ref="AJ932:AJ945" si="300">S932+U932+V932+W932+X932</f>
        <v>750645</v>
      </c>
      <c r="AK932" s="133">
        <f t="shared" ref="AK932:AK945" si="301">AI932-AJ932</f>
        <v>0</v>
      </c>
      <c r="AL932" s="132"/>
      <c r="AM932" s="133" t="s">
        <v>900</v>
      </c>
      <c r="AN932" s="246">
        <v>44886</v>
      </c>
      <c r="AO932" s="137"/>
    </row>
    <row r="933" s="97" customFormat="1" customHeight="1" spans="1:41">
      <c r="A933" s="115" t="s">
        <v>7888</v>
      </c>
      <c r="B933" s="296" t="s">
        <v>7889</v>
      </c>
      <c r="C933" s="556" t="s">
        <v>7890</v>
      </c>
      <c r="D933" s="267" t="s">
        <v>7891</v>
      </c>
      <c r="E933" s="267" t="s">
        <v>7892</v>
      </c>
      <c r="F933" s="267">
        <v>1</v>
      </c>
      <c r="G933" s="268">
        <v>1126</v>
      </c>
      <c r="H933" s="274">
        <v>44.99</v>
      </c>
      <c r="I933" s="274" t="s">
        <v>2665</v>
      </c>
      <c r="J933" s="267" t="s">
        <v>7893</v>
      </c>
      <c r="K933" s="274">
        <v>37.1</v>
      </c>
      <c r="L933" s="268" t="s">
        <v>7886</v>
      </c>
      <c r="M933" s="268" t="s">
        <v>2883</v>
      </c>
      <c r="N933" s="267" t="s">
        <v>56</v>
      </c>
      <c r="O933" s="267"/>
      <c r="P933" s="267"/>
      <c r="Q933" s="274">
        <v>45430</v>
      </c>
      <c r="R933" s="267">
        <v>2043896</v>
      </c>
      <c r="S933" s="292">
        <v>2043896</v>
      </c>
      <c r="T933" s="292">
        <f t="shared" si="280"/>
        <v>0</v>
      </c>
      <c r="U933" s="267"/>
      <c r="V933" s="267">
        <v>2924</v>
      </c>
      <c r="W933" s="267">
        <v>550</v>
      </c>
      <c r="X933" s="267"/>
      <c r="Y933" s="267" t="s">
        <v>2669</v>
      </c>
      <c r="Z933" s="267" t="s">
        <v>48</v>
      </c>
      <c r="AA933" s="304">
        <v>44141</v>
      </c>
      <c r="AB933" s="267" t="s">
        <v>7894</v>
      </c>
      <c r="AC933" s="113"/>
      <c r="AD933" s="113"/>
      <c r="AE933" s="133"/>
      <c r="AF933" s="115"/>
      <c r="AG933" s="133"/>
      <c r="AH933" s="133"/>
      <c r="AI933" s="132">
        <f t="shared" si="299"/>
        <v>2047370</v>
      </c>
      <c r="AJ933" s="132">
        <f t="shared" si="300"/>
        <v>2047370</v>
      </c>
      <c r="AK933" s="133">
        <f t="shared" si="301"/>
        <v>0</v>
      </c>
      <c r="AL933" s="132"/>
      <c r="AM933" s="133" t="s">
        <v>900</v>
      </c>
      <c r="AN933" s="246">
        <v>44886</v>
      </c>
      <c r="AO933" s="137"/>
    </row>
    <row r="934" s="97" customFormat="1" customHeight="1" spans="1:41">
      <c r="A934" s="115" t="s">
        <v>7895</v>
      </c>
      <c r="B934" s="336" t="s">
        <v>7896</v>
      </c>
      <c r="C934" s="554" t="s">
        <v>7897</v>
      </c>
      <c r="D934" s="113" t="s">
        <v>7898</v>
      </c>
      <c r="E934" s="113">
        <v>15037166956</v>
      </c>
      <c r="F934" s="267">
        <v>1</v>
      </c>
      <c r="G934" s="268">
        <v>143</v>
      </c>
      <c r="H934" s="274">
        <v>19.87</v>
      </c>
      <c r="I934" s="274" t="s">
        <v>2657</v>
      </c>
      <c r="J934" s="113" t="s">
        <v>7899</v>
      </c>
      <c r="K934" s="116">
        <v>14.13</v>
      </c>
      <c r="L934" s="266" t="s">
        <v>3096</v>
      </c>
      <c r="M934" s="266" t="s">
        <v>3740</v>
      </c>
      <c r="N934" s="113" t="s">
        <v>66</v>
      </c>
      <c r="O934" s="113"/>
      <c r="P934" s="113"/>
      <c r="Q934" s="113">
        <v>47416.84</v>
      </c>
      <c r="R934" s="113">
        <v>670000</v>
      </c>
      <c r="S934" s="121">
        <v>340000</v>
      </c>
      <c r="T934" s="292">
        <f t="shared" ref="T934:T965" si="302">R934-S934</f>
        <v>330000</v>
      </c>
      <c r="U934" s="113"/>
      <c r="V934" s="113"/>
      <c r="W934" s="113"/>
      <c r="X934" s="113"/>
      <c r="Y934" s="113"/>
      <c r="Z934" s="113"/>
      <c r="AA934" s="113"/>
      <c r="AB934" s="113"/>
      <c r="AC934" s="113"/>
      <c r="AD934" s="113"/>
      <c r="AE934" s="133"/>
      <c r="AF934" s="115"/>
      <c r="AG934" s="133"/>
      <c r="AH934" s="133"/>
      <c r="AI934" s="132">
        <f t="shared" si="299"/>
        <v>340000</v>
      </c>
      <c r="AJ934" s="132">
        <f t="shared" si="300"/>
        <v>340000</v>
      </c>
      <c r="AK934" s="133">
        <f t="shared" si="301"/>
        <v>0</v>
      </c>
      <c r="AL934" s="132"/>
      <c r="AM934" s="133" t="s">
        <v>900</v>
      </c>
      <c r="AN934" s="246">
        <v>44886</v>
      </c>
      <c r="AO934" s="137"/>
    </row>
    <row r="935" s="97" customFormat="1" customHeight="1" spans="1:41">
      <c r="A935" s="115" t="s">
        <v>7900</v>
      </c>
      <c r="B935" s="111" t="s">
        <v>7901</v>
      </c>
      <c r="C935" s="554" t="s">
        <v>7902</v>
      </c>
      <c r="D935" s="121"/>
      <c r="E935" s="113">
        <v>13103823375</v>
      </c>
      <c r="F935" s="267">
        <v>3</v>
      </c>
      <c r="G935" s="268">
        <v>3702</v>
      </c>
      <c r="H935" s="274">
        <v>11.9</v>
      </c>
      <c r="I935" s="274" t="s">
        <v>2657</v>
      </c>
      <c r="J935" s="113" t="s">
        <v>7903</v>
      </c>
      <c r="K935" s="113">
        <v>23</v>
      </c>
      <c r="L935" s="266" t="s">
        <v>5754</v>
      </c>
      <c r="M935" s="266" t="s">
        <v>2814</v>
      </c>
      <c r="N935" s="113" t="s">
        <v>56</v>
      </c>
      <c r="O935" s="113"/>
      <c r="P935" s="113"/>
      <c r="Q935" s="113">
        <v>30331.01</v>
      </c>
      <c r="R935" s="113">
        <v>360939</v>
      </c>
      <c r="S935" s="121">
        <v>360939</v>
      </c>
      <c r="T935" s="292">
        <f t="shared" si="302"/>
        <v>0</v>
      </c>
      <c r="U935" s="113"/>
      <c r="V935" s="113">
        <v>773</v>
      </c>
      <c r="W935" s="113">
        <v>550</v>
      </c>
      <c r="X935" s="113"/>
      <c r="Y935" s="113" t="s">
        <v>2669</v>
      </c>
      <c r="Z935" s="113" t="s">
        <v>48</v>
      </c>
      <c r="AA935" s="304">
        <v>44019</v>
      </c>
      <c r="AB935" s="113" t="s">
        <v>7904</v>
      </c>
      <c r="AC935" s="113"/>
      <c r="AD935" s="113"/>
      <c r="AE935" s="133"/>
      <c r="AF935" s="115"/>
      <c r="AG935" s="133"/>
      <c r="AH935" s="133"/>
      <c r="AI935" s="132">
        <f t="shared" si="299"/>
        <v>362262</v>
      </c>
      <c r="AJ935" s="132">
        <f t="shared" si="300"/>
        <v>362262</v>
      </c>
      <c r="AK935" s="133">
        <f t="shared" si="301"/>
        <v>0</v>
      </c>
      <c r="AL935" s="132"/>
      <c r="AM935" s="133" t="s">
        <v>900</v>
      </c>
      <c r="AN935" s="246">
        <v>44886</v>
      </c>
      <c r="AO935" s="137"/>
    </row>
    <row r="936" s="97" customFormat="1" customHeight="1" spans="1:41">
      <c r="A936" s="115" t="s">
        <v>7905</v>
      </c>
      <c r="B936" s="111" t="s">
        <v>7906</v>
      </c>
      <c r="C936" s="554" t="s">
        <v>7907</v>
      </c>
      <c r="D936" s="113" t="s">
        <v>7908</v>
      </c>
      <c r="E936" s="113">
        <v>13523555631</v>
      </c>
      <c r="F936" s="267">
        <v>4</v>
      </c>
      <c r="G936" s="268">
        <v>458</v>
      </c>
      <c r="H936" s="274">
        <v>19.39</v>
      </c>
      <c r="I936" s="274" t="s">
        <v>2657</v>
      </c>
      <c r="J936" s="113" t="s">
        <v>7909</v>
      </c>
      <c r="K936" s="113">
        <v>21.04</v>
      </c>
      <c r="L936" s="266" t="s">
        <v>3326</v>
      </c>
      <c r="M936" s="266" t="s">
        <v>7910</v>
      </c>
      <c r="N936" s="113" t="s">
        <v>56</v>
      </c>
      <c r="O936" s="113"/>
      <c r="P936" s="113"/>
      <c r="Q936" s="113">
        <v>24750.86</v>
      </c>
      <c r="R936" s="113">
        <v>479919</v>
      </c>
      <c r="S936" s="121">
        <v>479919</v>
      </c>
      <c r="T936" s="292">
        <f t="shared" si="302"/>
        <v>0</v>
      </c>
      <c r="U936" s="267"/>
      <c r="V936" s="267">
        <v>1260</v>
      </c>
      <c r="W936" s="267">
        <v>550</v>
      </c>
      <c r="X936" s="113">
        <v>39029</v>
      </c>
      <c r="Y936" s="113" t="s">
        <v>2669</v>
      </c>
      <c r="Z936" s="113"/>
      <c r="AA936" s="113"/>
      <c r="AB936" s="113"/>
      <c r="AC936" s="113"/>
      <c r="AD936" s="113"/>
      <c r="AE936" s="133"/>
      <c r="AF936" s="115"/>
      <c r="AG936" s="133"/>
      <c r="AH936" s="133"/>
      <c r="AI936" s="132">
        <f t="shared" si="299"/>
        <v>520758</v>
      </c>
      <c r="AJ936" s="132">
        <f t="shared" si="300"/>
        <v>520758</v>
      </c>
      <c r="AK936" s="133">
        <f t="shared" si="301"/>
        <v>0</v>
      </c>
      <c r="AL936" s="132"/>
      <c r="AM936" s="133" t="s">
        <v>900</v>
      </c>
      <c r="AN936" s="246">
        <v>44886</v>
      </c>
      <c r="AO936" s="137"/>
    </row>
    <row r="937" s="97" customFormat="1" customHeight="1" spans="1:41">
      <c r="A937" s="115" t="s">
        <v>7911</v>
      </c>
      <c r="B937" s="111" t="s">
        <v>7912</v>
      </c>
      <c r="C937" s="554" t="s">
        <v>7913</v>
      </c>
      <c r="D937" s="113" t="s">
        <v>7914</v>
      </c>
      <c r="E937" s="113">
        <v>18739751333</v>
      </c>
      <c r="F937" s="267">
        <v>4</v>
      </c>
      <c r="G937" s="268">
        <v>4104</v>
      </c>
      <c r="H937" s="274">
        <v>13.08</v>
      </c>
      <c r="I937" s="274" t="s">
        <v>2657</v>
      </c>
      <c r="J937" s="113" t="s">
        <v>7915</v>
      </c>
      <c r="K937" s="113">
        <v>14.94</v>
      </c>
      <c r="L937" s="266" t="s">
        <v>2705</v>
      </c>
      <c r="M937" s="266" t="s">
        <v>6803</v>
      </c>
      <c r="N937" s="113" t="s">
        <v>66</v>
      </c>
      <c r="O937" s="113"/>
      <c r="P937" s="113"/>
      <c r="Q937" s="113">
        <v>26104.42</v>
      </c>
      <c r="R937" s="113">
        <v>390000</v>
      </c>
      <c r="S937" s="121">
        <v>200000</v>
      </c>
      <c r="T937" s="292">
        <f t="shared" si="302"/>
        <v>190000</v>
      </c>
      <c r="U937" s="113"/>
      <c r="V937" s="113"/>
      <c r="W937" s="113"/>
      <c r="X937" s="113"/>
      <c r="Y937" s="113" t="s">
        <v>2669</v>
      </c>
      <c r="Z937" s="113"/>
      <c r="AA937" s="113"/>
      <c r="AB937" s="113"/>
      <c r="AC937" s="113"/>
      <c r="AD937" s="113"/>
      <c r="AE937" s="133"/>
      <c r="AF937" s="115"/>
      <c r="AG937" s="133"/>
      <c r="AH937" s="133"/>
      <c r="AI937" s="132">
        <f t="shared" si="299"/>
        <v>200000</v>
      </c>
      <c r="AJ937" s="132">
        <f t="shared" si="300"/>
        <v>200000</v>
      </c>
      <c r="AK937" s="133">
        <f t="shared" si="301"/>
        <v>0</v>
      </c>
      <c r="AL937" s="132"/>
      <c r="AM937" s="133" t="s">
        <v>900</v>
      </c>
      <c r="AN937" s="246">
        <v>44886</v>
      </c>
      <c r="AO937" s="137"/>
    </row>
    <row r="938" s="254" customFormat="1" customHeight="1" spans="1:57">
      <c r="A938" s="115" t="s">
        <v>7916</v>
      </c>
      <c r="B938" s="111" t="s">
        <v>7917</v>
      </c>
      <c r="C938" s="111" t="s">
        <v>7918</v>
      </c>
      <c r="D938" s="121" t="s">
        <v>7919</v>
      </c>
      <c r="E938" s="113">
        <v>13673697806</v>
      </c>
      <c r="F938" s="267">
        <v>3</v>
      </c>
      <c r="G938" s="268">
        <v>3165</v>
      </c>
      <c r="H938" s="274">
        <v>22.95</v>
      </c>
      <c r="I938" s="274" t="s">
        <v>2657</v>
      </c>
      <c r="J938" s="113" t="s">
        <v>7920</v>
      </c>
      <c r="K938" s="116">
        <v>19.34</v>
      </c>
      <c r="L938" s="266" t="s">
        <v>4670</v>
      </c>
      <c r="M938" s="266" t="s">
        <v>5819</v>
      </c>
      <c r="N938" s="113" t="s">
        <v>66</v>
      </c>
      <c r="O938" s="113"/>
      <c r="P938" s="113"/>
      <c r="Q938" s="113">
        <v>31993.85</v>
      </c>
      <c r="R938" s="113">
        <v>618761</v>
      </c>
      <c r="S938" s="121">
        <v>318761</v>
      </c>
      <c r="T938" s="292">
        <f t="shared" si="302"/>
        <v>300000</v>
      </c>
      <c r="U938" s="113"/>
      <c r="V938" s="113"/>
      <c r="W938" s="113"/>
      <c r="X938" s="113"/>
      <c r="Y938" s="113"/>
      <c r="Z938" s="113"/>
      <c r="AA938" s="113"/>
      <c r="AB938" s="113"/>
      <c r="AC938" s="113"/>
      <c r="AD938" s="113"/>
      <c r="AE938" s="133"/>
      <c r="AF938" s="115"/>
      <c r="AG938" s="133"/>
      <c r="AH938" s="133"/>
      <c r="AI938" s="132">
        <f t="shared" si="299"/>
        <v>318761</v>
      </c>
      <c r="AJ938" s="132">
        <f t="shared" si="300"/>
        <v>318761</v>
      </c>
      <c r="AK938" s="133">
        <f t="shared" si="301"/>
        <v>0</v>
      </c>
      <c r="AL938" s="132"/>
      <c r="AM938" s="133" t="s">
        <v>900</v>
      </c>
      <c r="AN938" s="246">
        <v>44886</v>
      </c>
      <c r="AO938" s="137"/>
      <c r="AP938" s="97"/>
      <c r="AQ938" s="97"/>
      <c r="AR938" s="97"/>
      <c r="AS938" s="97"/>
      <c r="AT938" s="97"/>
      <c r="AU938" s="97"/>
      <c r="AV938" s="97"/>
      <c r="AW938" s="97"/>
      <c r="AX938" s="97"/>
      <c r="AY938" s="97"/>
      <c r="AZ938" s="97"/>
      <c r="BA938" s="97"/>
      <c r="BB938" s="97"/>
      <c r="BC938" s="97"/>
      <c r="BD938" s="97"/>
      <c r="BE938" s="97"/>
    </row>
    <row r="939" s="254" customFormat="1" customHeight="1" spans="1:57">
      <c r="A939" s="115" t="s">
        <v>7921</v>
      </c>
      <c r="B939" s="111" t="s">
        <v>7922</v>
      </c>
      <c r="C939" s="111" t="s">
        <v>7923</v>
      </c>
      <c r="D939" s="121" t="s">
        <v>7919</v>
      </c>
      <c r="E939" s="113">
        <v>13783510982</v>
      </c>
      <c r="F939" s="267">
        <v>3</v>
      </c>
      <c r="G939" s="268">
        <v>3438</v>
      </c>
      <c r="H939" s="274">
        <v>23.1</v>
      </c>
      <c r="I939" s="274" t="s">
        <v>2657</v>
      </c>
      <c r="J939" s="113" t="s">
        <v>7924</v>
      </c>
      <c r="K939" s="113">
        <v>19.1</v>
      </c>
      <c r="L939" s="266" t="s">
        <v>2834</v>
      </c>
      <c r="M939" s="266" t="s">
        <v>2968</v>
      </c>
      <c r="N939" s="113" t="s">
        <v>66</v>
      </c>
      <c r="O939" s="113"/>
      <c r="P939" s="113"/>
      <c r="Q939" s="113">
        <v>31898.64</v>
      </c>
      <c r="R939" s="113">
        <v>609264</v>
      </c>
      <c r="S939" s="121">
        <v>309264</v>
      </c>
      <c r="T939" s="292">
        <f t="shared" si="302"/>
        <v>300000</v>
      </c>
      <c r="U939" s="113"/>
      <c r="V939" s="113"/>
      <c r="W939" s="113"/>
      <c r="X939" s="113"/>
      <c r="Y939" s="113"/>
      <c r="Z939" s="113"/>
      <c r="AA939" s="113"/>
      <c r="AB939" s="113"/>
      <c r="AC939" s="113"/>
      <c r="AD939" s="113"/>
      <c r="AE939" s="133"/>
      <c r="AF939" s="115"/>
      <c r="AG939" s="133"/>
      <c r="AH939" s="133"/>
      <c r="AI939" s="132">
        <f t="shared" si="299"/>
        <v>309264</v>
      </c>
      <c r="AJ939" s="132">
        <f t="shared" si="300"/>
        <v>309264</v>
      </c>
      <c r="AK939" s="133">
        <f t="shared" si="301"/>
        <v>0</v>
      </c>
      <c r="AL939" s="132"/>
      <c r="AM939" s="133" t="s">
        <v>900</v>
      </c>
      <c r="AN939" s="246">
        <v>44886</v>
      </c>
      <c r="AO939" s="137"/>
      <c r="AP939" s="97"/>
      <c r="AQ939" s="97"/>
      <c r="AR939" s="97"/>
      <c r="AS939" s="97"/>
      <c r="AT939" s="97"/>
      <c r="AU939" s="97"/>
      <c r="AV939" s="97"/>
      <c r="AW939" s="97"/>
      <c r="AX939" s="97"/>
      <c r="AY939" s="97"/>
      <c r="AZ939" s="97"/>
      <c r="BA939" s="97"/>
      <c r="BB939" s="97"/>
      <c r="BC939" s="97"/>
      <c r="BD939" s="97"/>
      <c r="BE939" s="97"/>
    </row>
    <row r="940" s="97" customFormat="1" customHeight="1" spans="1:41">
      <c r="A940" s="115" t="s">
        <v>7925</v>
      </c>
      <c r="B940" s="111" t="s">
        <v>7926</v>
      </c>
      <c r="C940" s="111" t="s">
        <v>7927</v>
      </c>
      <c r="D940" s="121" t="s">
        <v>7919</v>
      </c>
      <c r="E940" s="113">
        <v>13676921753</v>
      </c>
      <c r="F940" s="267">
        <v>3</v>
      </c>
      <c r="G940" s="268">
        <v>3164</v>
      </c>
      <c r="H940" s="274">
        <v>22.95</v>
      </c>
      <c r="I940" s="274" t="s">
        <v>2657</v>
      </c>
      <c r="J940" s="113" t="s">
        <v>7928</v>
      </c>
      <c r="K940" s="116">
        <v>23.67</v>
      </c>
      <c r="L940" s="266" t="s">
        <v>4670</v>
      </c>
      <c r="M940" s="266" t="s">
        <v>2834</v>
      </c>
      <c r="N940" s="113" t="s">
        <v>66</v>
      </c>
      <c r="O940" s="113"/>
      <c r="P940" s="113"/>
      <c r="Q940" s="113">
        <v>31514.91</v>
      </c>
      <c r="R940" s="113">
        <v>745958</v>
      </c>
      <c r="S940" s="121">
        <v>375958</v>
      </c>
      <c r="T940" s="292">
        <f t="shared" si="302"/>
        <v>370000</v>
      </c>
      <c r="U940" s="113"/>
      <c r="V940" s="113"/>
      <c r="W940" s="113"/>
      <c r="X940" s="113"/>
      <c r="Y940" s="113"/>
      <c r="Z940" s="113"/>
      <c r="AA940" s="113"/>
      <c r="AB940" s="113"/>
      <c r="AC940" s="113"/>
      <c r="AD940" s="113"/>
      <c r="AE940" s="133"/>
      <c r="AF940" s="115"/>
      <c r="AG940" s="133"/>
      <c r="AH940" s="133"/>
      <c r="AI940" s="132">
        <f t="shared" si="299"/>
        <v>375958</v>
      </c>
      <c r="AJ940" s="132">
        <f t="shared" si="300"/>
        <v>375958</v>
      </c>
      <c r="AK940" s="133">
        <f t="shared" si="301"/>
        <v>0</v>
      </c>
      <c r="AL940" s="132"/>
      <c r="AM940" s="133" t="s">
        <v>900</v>
      </c>
      <c r="AN940" s="246">
        <v>44886</v>
      </c>
      <c r="AO940" s="137"/>
    </row>
    <row r="941" s="97" customFormat="1" customHeight="1" spans="1:41">
      <c r="A941" s="115" t="s">
        <v>7929</v>
      </c>
      <c r="B941" s="111" t="s">
        <v>7930</v>
      </c>
      <c r="C941" s="111" t="s">
        <v>7931</v>
      </c>
      <c r="D941" s="113" t="s">
        <v>7932</v>
      </c>
      <c r="E941" s="113" t="s">
        <v>7933</v>
      </c>
      <c r="F941" s="267">
        <v>4</v>
      </c>
      <c r="G941" s="268">
        <v>4525</v>
      </c>
      <c r="H941" s="274">
        <v>13.56</v>
      </c>
      <c r="I941" s="274" t="s">
        <v>2657</v>
      </c>
      <c r="J941" s="113" t="s">
        <v>7934</v>
      </c>
      <c r="K941" s="113">
        <v>13.12</v>
      </c>
      <c r="L941" s="266" t="s">
        <v>3048</v>
      </c>
      <c r="M941" s="266" t="s">
        <v>4312</v>
      </c>
      <c r="N941" s="113" t="s">
        <v>56</v>
      </c>
      <c r="O941" s="113"/>
      <c r="P941" s="113"/>
      <c r="Q941" s="113">
        <v>27210.37</v>
      </c>
      <c r="R941" s="113">
        <v>368973</v>
      </c>
      <c r="S941" s="121">
        <v>368973</v>
      </c>
      <c r="T941" s="292">
        <f t="shared" si="302"/>
        <v>0</v>
      </c>
      <c r="U941" s="113"/>
      <c r="V941" s="113">
        <v>881</v>
      </c>
      <c r="W941" s="113">
        <v>550</v>
      </c>
      <c r="X941" s="113"/>
      <c r="Y941" s="113" t="s">
        <v>2669</v>
      </c>
      <c r="Z941" s="113"/>
      <c r="AA941" s="113"/>
      <c r="AB941" s="113"/>
      <c r="AC941" s="113"/>
      <c r="AD941" s="113"/>
      <c r="AE941" s="133"/>
      <c r="AF941" s="115"/>
      <c r="AG941" s="133"/>
      <c r="AH941" s="133"/>
      <c r="AI941" s="132">
        <f t="shared" si="299"/>
        <v>370404</v>
      </c>
      <c r="AJ941" s="132">
        <f t="shared" si="300"/>
        <v>370404</v>
      </c>
      <c r="AK941" s="133">
        <f t="shared" si="301"/>
        <v>0</v>
      </c>
      <c r="AL941" s="132"/>
      <c r="AM941" s="133" t="s">
        <v>900</v>
      </c>
      <c r="AN941" s="246">
        <v>44886</v>
      </c>
      <c r="AO941" s="137"/>
    </row>
    <row r="942" s="97" customFormat="1" customHeight="1" spans="1:41">
      <c r="A942" s="115" t="s">
        <v>7935</v>
      </c>
      <c r="B942" s="111" t="s">
        <v>7936</v>
      </c>
      <c r="C942" s="111" t="s">
        <v>7937</v>
      </c>
      <c r="D942" s="121" t="s">
        <v>7938</v>
      </c>
      <c r="E942" s="113">
        <v>18836095551</v>
      </c>
      <c r="F942" s="267">
        <v>3</v>
      </c>
      <c r="G942" s="268">
        <v>3812</v>
      </c>
      <c r="H942" s="274">
        <v>22.72</v>
      </c>
      <c r="I942" s="274" t="s">
        <v>2657</v>
      </c>
      <c r="J942" s="113" t="s">
        <v>7939</v>
      </c>
      <c r="K942" s="113">
        <v>19.77</v>
      </c>
      <c r="L942" s="266" t="s">
        <v>7222</v>
      </c>
      <c r="M942" s="266" t="s">
        <v>7222</v>
      </c>
      <c r="N942" s="113" t="s">
        <v>66</v>
      </c>
      <c r="O942" s="113"/>
      <c r="P942" s="113"/>
      <c r="Q942" s="113">
        <v>31262.32</v>
      </c>
      <c r="R942" s="113">
        <v>618056</v>
      </c>
      <c r="S942" s="121">
        <v>318056</v>
      </c>
      <c r="T942" s="292">
        <f t="shared" si="302"/>
        <v>300000</v>
      </c>
      <c r="U942" s="113"/>
      <c r="V942" s="113"/>
      <c r="W942" s="113"/>
      <c r="X942" s="113"/>
      <c r="Y942" s="113"/>
      <c r="Z942" s="113"/>
      <c r="AA942" s="113"/>
      <c r="AB942" s="113"/>
      <c r="AC942" s="113"/>
      <c r="AD942" s="113"/>
      <c r="AE942" s="133"/>
      <c r="AF942" s="115"/>
      <c r="AG942" s="133"/>
      <c r="AH942" s="133"/>
      <c r="AI942" s="132">
        <f t="shared" si="299"/>
        <v>318056</v>
      </c>
      <c r="AJ942" s="132">
        <f t="shared" si="300"/>
        <v>318056</v>
      </c>
      <c r="AK942" s="133">
        <f t="shared" si="301"/>
        <v>0</v>
      </c>
      <c r="AL942" s="132"/>
      <c r="AM942" s="133" t="s">
        <v>900</v>
      </c>
      <c r="AN942" s="246">
        <v>44886</v>
      </c>
      <c r="AO942" s="137"/>
    </row>
    <row r="943" s="97" customFormat="1" customHeight="1" spans="1:41">
      <c r="A943" s="115" t="s">
        <v>7940</v>
      </c>
      <c r="B943" s="111" t="s">
        <v>7941</v>
      </c>
      <c r="C943" s="111" t="s">
        <v>7942</v>
      </c>
      <c r="D943" s="121" t="s">
        <v>7943</v>
      </c>
      <c r="E943" s="113">
        <v>15838935578</v>
      </c>
      <c r="F943" s="267">
        <v>3</v>
      </c>
      <c r="G943" s="268">
        <v>3750</v>
      </c>
      <c r="H943" s="274">
        <v>17.05</v>
      </c>
      <c r="I943" s="274" t="s">
        <v>2657</v>
      </c>
      <c r="J943" s="113" t="s">
        <v>7944</v>
      </c>
      <c r="K943" s="113">
        <v>19.9</v>
      </c>
      <c r="L943" s="266" t="s">
        <v>4771</v>
      </c>
      <c r="M943" s="266" t="s">
        <v>4607</v>
      </c>
      <c r="N943" s="113" t="s">
        <v>56</v>
      </c>
      <c r="O943" s="113"/>
      <c r="P943" s="113"/>
      <c r="Q943" s="113">
        <v>31681.17</v>
      </c>
      <c r="R943" s="113">
        <v>540164</v>
      </c>
      <c r="S943" s="121">
        <v>540164</v>
      </c>
      <c r="T943" s="292">
        <f t="shared" si="302"/>
        <v>0</v>
      </c>
      <c r="U943" s="113"/>
      <c r="V943" s="113">
        <v>1108</v>
      </c>
      <c r="W943" s="113">
        <v>550</v>
      </c>
      <c r="X943" s="113"/>
      <c r="Y943" s="113" t="s">
        <v>2669</v>
      </c>
      <c r="Z943" s="113" t="s">
        <v>48</v>
      </c>
      <c r="AA943" s="305">
        <v>44188</v>
      </c>
      <c r="AB943" s="113"/>
      <c r="AC943" s="113"/>
      <c r="AD943" s="113"/>
      <c r="AE943" s="133"/>
      <c r="AF943" s="115"/>
      <c r="AG943" s="133"/>
      <c r="AH943" s="133"/>
      <c r="AI943" s="132">
        <f t="shared" si="299"/>
        <v>541822</v>
      </c>
      <c r="AJ943" s="132">
        <f t="shared" si="300"/>
        <v>541822</v>
      </c>
      <c r="AK943" s="133">
        <f t="shared" si="301"/>
        <v>0</v>
      </c>
      <c r="AL943" s="132"/>
      <c r="AM943" s="133" t="s">
        <v>900</v>
      </c>
      <c r="AN943" s="246">
        <v>44886</v>
      </c>
      <c r="AO943" s="137"/>
    </row>
    <row r="944" s="97" customFormat="1" customHeight="1" spans="1:41">
      <c r="A944" s="115" t="s">
        <v>7945</v>
      </c>
      <c r="B944" s="111" t="s">
        <v>7946</v>
      </c>
      <c r="C944" s="111" t="s">
        <v>7947</v>
      </c>
      <c r="D944" s="121" t="s">
        <v>7948</v>
      </c>
      <c r="E944" s="352" t="s">
        <v>7949</v>
      </c>
      <c r="F944" s="267">
        <v>4</v>
      </c>
      <c r="G944" s="268">
        <v>4482</v>
      </c>
      <c r="H944" s="274">
        <v>11.61</v>
      </c>
      <c r="I944" s="274" t="s">
        <v>2657</v>
      </c>
      <c r="J944" s="113" t="s">
        <v>7950</v>
      </c>
      <c r="K944" s="113">
        <v>17.56</v>
      </c>
      <c r="L944" s="266" t="s">
        <v>2676</v>
      </c>
      <c r="M944" s="266" t="s">
        <v>2814</v>
      </c>
      <c r="N944" s="113" t="s">
        <v>66</v>
      </c>
      <c r="O944" s="113"/>
      <c r="P944" s="113"/>
      <c r="Q944" s="113">
        <v>27530.84</v>
      </c>
      <c r="R944" s="113">
        <v>319633</v>
      </c>
      <c r="S944" s="121">
        <v>279633</v>
      </c>
      <c r="T944" s="292">
        <f t="shared" si="302"/>
        <v>40000</v>
      </c>
      <c r="U944" s="113"/>
      <c r="V944" s="113">
        <v>754</v>
      </c>
      <c r="W944" s="113">
        <v>550</v>
      </c>
      <c r="X944" s="113"/>
      <c r="Y944" s="113" t="s">
        <v>2669</v>
      </c>
      <c r="Z944" s="113"/>
      <c r="AA944" s="113"/>
      <c r="AB944" s="267"/>
      <c r="AC944" s="113"/>
      <c r="AD944" s="113"/>
      <c r="AE944" s="133"/>
      <c r="AF944" s="115"/>
      <c r="AG944" s="133"/>
      <c r="AH944" s="133"/>
      <c r="AI944" s="132">
        <f t="shared" si="299"/>
        <v>280937</v>
      </c>
      <c r="AJ944" s="132">
        <f t="shared" si="300"/>
        <v>280937</v>
      </c>
      <c r="AK944" s="133">
        <f t="shared" si="301"/>
        <v>0</v>
      </c>
      <c r="AL944" s="132"/>
      <c r="AM944" s="133" t="s">
        <v>900</v>
      </c>
      <c r="AN944" s="246">
        <v>44886</v>
      </c>
      <c r="AO944" s="137"/>
    </row>
    <row r="945" s="97" customFormat="1" customHeight="1" spans="1:41">
      <c r="A945" s="115" t="s">
        <v>7951</v>
      </c>
      <c r="B945" s="111" t="s">
        <v>7952</v>
      </c>
      <c r="C945" s="111" t="s">
        <v>7953</v>
      </c>
      <c r="D945" s="121" t="s">
        <v>7954</v>
      </c>
      <c r="E945" s="113" t="s">
        <v>7955</v>
      </c>
      <c r="F945" s="267">
        <v>3</v>
      </c>
      <c r="G945" s="268">
        <v>3368</v>
      </c>
      <c r="H945" s="274">
        <v>19.42</v>
      </c>
      <c r="I945" s="274" t="s">
        <v>2657</v>
      </c>
      <c r="J945" s="113" t="s">
        <v>7956</v>
      </c>
      <c r="K945" s="113">
        <v>15.7</v>
      </c>
      <c r="L945" s="266" t="s">
        <v>3049</v>
      </c>
      <c r="M945" s="266" t="s">
        <v>3205</v>
      </c>
      <c r="N945" s="113" t="s">
        <v>66</v>
      </c>
      <c r="O945" s="113"/>
      <c r="P945" s="113"/>
      <c r="Q945" s="113">
        <v>31758.41</v>
      </c>
      <c r="R945" s="113">
        <v>498607</v>
      </c>
      <c r="S945" s="121">
        <v>258607</v>
      </c>
      <c r="T945" s="292">
        <f t="shared" si="302"/>
        <v>240000</v>
      </c>
      <c r="U945" s="113"/>
      <c r="V945" s="113"/>
      <c r="W945" s="113"/>
      <c r="X945" s="113"/>
      <c r="Y945" s="113"/>
      <c r="Z945" s="113"/>
      <c r="AA945" s="113"/>
      <c r="AB945" s="113"/>
      <c r="AC945" s="113"/>
      <c r="AD945" s="113"/>
      <c r="AE945" s="133"/>
      <c r="AF945" s="115"/>
      <c r="AG945" s="133"/>
      <c r="AH945" s="133"/>
      <c r="AI945" s="132">
        <f t="shared" si="299"/>
        <v>258607</v>
      </c>
      <c r="AJ945" s="132">
        <f t="shared" si="300"/>
        <v>258607</v>
      </c>
      <c r="AK945" s="133">
        <f t="shared" si="301"/>
        <v>0</v>
      </c>
      <c r="AL945" s="132"/>
      <c r="AM945" s="133" t="s">
        <v>900</v>
      </c>
      <c r="AN945" s="246">
        <v>44886</v>
      </c>
      <c r="AO945" s="137"/>
    </row>
    <row r="946" s="97" customFormat="1" customHeight="1" spans="1:41">
      <c r="A946" s="115" t="s">
        <v>7957</v>
      </c>
      <c r="B946" s="111" t="s">
        <v>7958</v>
      </c>
      <c r="C946" s="111" t="s">
        <v>7959</v>
      </c>
      <c r="D946" s="121" t="s">
        <v>7960</v>
      </c>
      <c r="E946" s="113">
        <v>15838199396</v>
      </c>
      <c r="F946" s="267">
        <v>3</v>
      </c>
      <c r="G946" s="268">
        <v>3720</v>
      </c>
      <c r="H946" s="274">
        <v>14.17</v>
      </c>
      <c r="I946" s="274" t="s">
        <v>2657</v>
      </c>
      <c r="J946" s="113" t="s">
        <v>7961</v>
      </c>
      <c r="K946" s="113">
        <v>12.82</v>
      </c>
      <c r="L946" s="266" t="s">
        <v>2746</v>
      </c>
      <c r="M946" s="266" t="s">
        <v>3787</v>
      </c>
      <c r="N946" s="113" t="s">
        <v>66</v>
      </c>
      <c r="O946" s="113"/>
      <c r="P946" s="113"/>
      <c r="Q946" s="113">
        <v>32735.34</v>
      </c>
      <c r="R946" s="113">
        <v>463860</v>
      </c>
      <c r="S946" s="121">
        <v>233860</v>
      </c>
      <c r="T946" s="292">
        <f t="shared" si="302"/>
        <v>230000</v>
      </c>
      <c r="U946" s="113"/>
      <c r="V946" s="113">
        <v>921</v>
      </c>
      <c r="W946" s="113">
        <v>550</v>
      </c>
      <c r="X946" s="113"/>
      <c r="Y946" s="113" t="s">
        <v>2669</v>
      </c>
      <c r="Z946" s="113"/>
      <c r="AA946" s="113"/>
      <c r="AB946" s="113"/>
      <c r="AC946" s="113">
        <v>1243</v>
      </c>
      <c r="AD946" s="113"/>
      <c r="AE946" s="133"/>
      <c r="AF946" s="115"/>
      <c r="AG946" s="133"/>
      <c r="AH946" s="133"/>
      <c r="AI946" s="132">
        <f t="shared" ref="AI946:AI959" si="303">S946+U946+V946+W946+X946+AC946+AD946+AE946</f>
        <v>236574</v>
      </c>
      <c r="AJ946" s="132">
        <f t="shared" ref="AJ946:AJ959" si="304">S946+U946+V946+W946+X946</f>
        <v>235331</v>
      </c>
      <c r="AK946" s="133">
        <f t="shared" ref="AK946:AK959" si="305">AI946-AJ946</f>
        <v>1243</v>
      </c>
      <c r="AL946" s="132"/>
      <c r="AM946" s="133" t="s">
        <v>900</v>
      </c>
      <c r="AN946" s="246">
        <v>44886</v>
      </c>
      <c r="AO946" s="137"/>
    </row>
    <row r="947" s="254" customFormat="1" customHeight="1" spans="1:57">
      <c r="A947" s="115" t="s">
        <v>7962</v>
      </c>
      <c r="B947" s="111" t="s">
        <v>7963</v>
      </c>
      <c r="C947" s="111" t="s">
        <v>7964</v>
      </c>
      <c r="D947" s="121" t="s">
        <v>7965</v>
      </c>
      <c r="E947" s="113">
        <v>13707695741</v>
      </c>
      <c r="F947" s="267">
        <v>3</v>
      </c>
      <c r="G947" s="268">
        <v>3624</v>
      </c>
      <c r="H947" s="274">
        <v>20.12</v>
      </c>
      <c r="I947" s="274" t="s">
        <v>2657</v>
      </c>
      <c r="J947" s="113" t="s">
        <v>7966</v>
      </c>
      <c r="K947" s="113">
        <v>18.77</v>
      </c>
      <c r="L947" s="266" t="s">
        <v>3035</v>
      </c>
      <c r="M947" s="266" t="s">
        <v>2763</v>
      </c>
      <c r="N947" s="113" t="s">
        <v>66</v>
      </c>
      <c r="O947" s="113"/>
      <c r="P947" s="113"/>
      <c r="Q947" s="113">
        <v>31433.14</v>
      </c>
      <c r="R947" s="113">
        <v>632435</v>
      </c>
      <c r="S947" s="121">
        <v>322435</v>
      </c>
      <c r="T947" s="292">
        <f t="shared" si="302"/>
        <v>310000</v>
      </c>
      <c r="U947" s="113"/>
      <c r="V947" s="113">
        <v>1307</v>
      </c>
      <c r="W947" s="113">
        <v>550</v>
      </c>
      <c r="X947" s="113"/>
      <c r="Y947" s="113" t="s">
        <v>2669</v>
      </c>
      <c r="Z947" s="113"/>
      <c r="AA947" s="113"/>
      <c r="AB947" s="113"/>
      <c r="AC947" s="113">
        <v>1251</v>
      </c>
      <c r="AD947" s="113"/>
      <c r="AE947" s="133"/>
      <c r="AF947" s="115"/>
      <c r="AG947" s="133"/>
      <c r="AH947" s="133"/>
      <c r="AI947" s="132">
        <f t="shared" si="303"/>
        <v>325543</v>
      </c>
      <c r="AJ947" s="132">
        <f t="shared" si="304"/>
        <v>324292</v>
      </c>
      <c r="AK947" s="133">
        <f t="shared" si="305"/>
        <v>1251</v>
      </c>
      <c r="AL947" s="132"/>
      <c r="AM947" s="133" t="s">
        <v>900</v>
      </c>
      <c r="AN947" s="246">
        <v>44886</v>
      </c>
      <c r="AO947" s="137"/>
      <c r="AP947" s="97"/>
      <c r="AQ947" s="97"/>
      <c r="AR947" s="97"/>
      <c r="AS947" s="97"/>
      <c r="AT947" s="97"/>
      <c r="AU947" s="97"/>
      <c r="AV947" s="97"/>
      <c r="AW947" s="97"/>
      <c r="AX947" s="97"/>
      <c r="AY947" s="97"/>
      <c r="AZ947" s="97"/>
      <c r="BA947" s="97"/>
      <c r="BB947" s="97"/>
      <c r="BC947" s="97"/>
      <c r="BD947" s="97"/>
      <c r="BE947" s="97"/>
    </row>
    <row r="948" s="97" customFormat="1" customHeight="1" spans="1:41">
      <c r="A948" s="115" t="s">
        <v>7967</v>
      </c>
      <c r="B948" s="111" t="s">
        <v>7968</v>
      </c>
      <c r="C948" s="111" t="s">
        <v>7969</v>
      </c>
      <c r="D948" s="121" t="s">
        <v>7970</v>
      </c>
      <c r="E948" s="113" t="s">
        <v>7971</v>
      </c>
      <c r="F948" s="267">
        <v>3</v>
      </c>
      <c r="G948" s="268">
        <v>3452</v>
      </c>
      <c r="H948" s="274">
        <v>23.82</v>
      </c>
      <c r="I948" s="274" t="s">
        <v>2657</v>
      </c>
      <c r="J948" s="113" t="s">
        <v>7972</v>
      </c>
      <c r="K948" s="113">
        <v>19.63</v>
      </c>
      <c r="L948" s="266" t="s">
        <v>2820</v>
      </c>
      <c r="M948" s="266" t="s">
        <v>7973</v>
      </c>
      <c r="N948" s="113" t="s">
        <v>66</v>
      </c>
      <c r="O948" s="113"/>
      <c r="P948" s="113"/>
      <c r="Q948" s="113">
        <v>31899.69</v>
      </c>
      <c r="R948" s="113">
        <v>626191</v>
      </c>
      <c r="S948" s="121">
        <v>316191</v>
      </c>
      <c r="T948" s="292">
        <f t="shared" si="302"/>
        <v>310000</v>
      </c>
      <c r="U948" s="113"/>
      <c r="V948" s="113"/>
      <c r="W948" s="113"/>
      <c r="X948" s="113"/>
      <c r="Y948" s="113"/>
      <c r="Z948" s="113"/>
      <c r="AA948" s="113"/>
      <c r="AB948" s="113" t="s">
        <v>7974</v>
      </c>
      <c r="AC948" s="113"/>
      <c r="AD948" s="113"/>
      <c r="AE948" s="133"/>
      <c r="AF948" s="115"/>
      <c r="AG948" s="133"/>
      <c r="AH948" s="133"/>
      <c r="AI948" s="132">
        <f t="shared" si="303"/>
        <v>316191</v>
      </c>
      <c r="AJ948" s="132">
        <f t="shared" si="304"/>
        <v>316191</v>
      </c>
      <c r="AK948" s="133">
        <f t="shared" si="305"/>
        <v>0</v>
      </c>
      <c r="AL948" s="132"/>
      <c r="AM948" s="133" t="s">
        <v>900</v>
      </c>
      <c r="AN948" s="246">
        <v>44886</v>
      </c>
      <c r="AO948" s="137"/>
    </row>
    <row r="949" s="254" customFormat="1" customHeight="1" spans="1:57">
      <c r="A949" s="115" t="s">
        <v>7975</v>
      </c>
      <c r="B949" s="111" t="s">
        <v>7976</v>
      </c>
      <c r="C949" s="554" t="s">
        <v>7977</v>
      </c>
      <c r="D949" s="113" t="s">
        <v>7978</v>
      </c>
      <c r="E949" s="113">
        <v>18639005006</v>
      </c>
      <c r="F949" s="267">
        <v>4</v>
      </c>
      <c r="G949" s="268">
        <v>4518</v>
      </c>
      <c r="H949" s="274">
        <v>19.84</v>
      </c>
      <c r="I949" s="274" t="s">
        <v>2657</v>
      </c>
      <c r="J949" s="113" t="s">
        <v>7979</v>
      </c>
      <c r="K949" s="113">
        <v>15.29</v>
      </c>
      <c r="L949" s="266" t="s">
        <v>3988</v>
      </c>
      <c r="M949" s="266" t="s">
        <v>3740</v>
      </c>
      <c r="N949" s="113" t="s">
        <v>66</v>
      </c>
      <c r="O949" s="113"/>
      <c r="P949" s="113"/>
      <c r="Q949" s="113">
        <v>26034.92</v>
      </c>
      <c r="R949" s="113">
        <v>398074</v>
      </c>
      <c r="S949" s="121">
        <v>208074</v>
      </c>
      <c r="T949" s="292">
        <f t="shared" si="302"/>
        <v>190000</v>
      </c>
      <c r="U949" s="113"/>
      <c r="V949" s="113"/>
      <c r="W949" s="113"/>
      <c r="X949" s="113"/>
      <c r="Y949" s="113"/>
      <c r="Z949" s="113"/>
      <c r="AA949" s="113"/>
      <c r="AB949" s="113"/>
      <c r="AC949" s="113"/>
      <c r="AD949" s="113"/>
      <c r="AE949" s="133"/>
      <c r="AF949" s="115"/>
      <c r="AG949" s="133"/>
      <c r="AH949" s="133"/>
      <c r="AI949" s="132">
        <f t="shared" si="303"/>
        <v>208074</v>
      </c>
      <c r="AJ949" s="132">
        <f t="shared" si="304"/>
        <v>208074</v>
      </c>
      <c r="AK949" s="133">
        <f t="shared" si="305"/>
        <v>0</v>
      </c>
      <c r="AL949" s="132"/>
      <c r="AM949" s="133" t="s">
        <v>900</v>
      </c>
      <c r="AN949" s="246">
        <v>44886</v>
      </c>
      <c r="AO949" s="137"/>
      <c r="AP949" s="97"/>
      <c r="AQ949" s="97"/>
      <c r="AR949" s="97"/>
      <c r="AS949" s="97"/>
      <c r="AT949" s="97"/>
      <c r="AU949" s="97"/>
      <c r="AV949" s="97"/>
      <c r="AW949" s="97"/>
      <c r="AX949" s="97"/>
      <c r="AY949" s="97"/>
      <c r="AZ949" s="97"/>
      <c r="BA949" s="97"/>
      <c r="BB949" s="97"/>
      <c r="BC949" s="97"/>
      <c r="BD949" s="97"/>
      <c r="BE949" s="97"/>
    </row>
    <row r="950" s="97" customFormat="1" customHeight="1" spans="1:41">
      <c r="A950" s="115" t="s">
        <v>7980</v>
      </c>
      <c r="B950" s="111" t="s">
        <v>7981</v>
      </c>
      <c r="C950" s="554" t="s">
        <v>7982</v>
      </c>
      <c r="D950" s="113" t="s">
        <v>7983</v>
      </c>
      <c r="E950" s="111" t="s">
        <v>7984</v>
      </c>
      <c r="F950" s="267">
        <v>1</v>
      </c>
      <c r="G950" s="268">
        <v>1156</v>
      </c>
      <c r="H950" s="274">
        <v>14.25</v>
      </c>
      <c r="I950" s="274" t="s">
        <v>2657</v>
      </c>
      <c r="J950" s="113" t="s">
        <v>7985</v>
      </c>
      <c r="K950" s="116">
        <v>13.39</v>
      </c>
      <c r="L950" s="266" t="s">
        <v>3408</v>
      </c>
      <c r="M950" s="266" t="s">
        <v>3988</v>
      </c>
      <c r="N950" s="113" t="s">
        <v>2677</v>
      </c>
      <c r="O950" s="113"/>
      <c r="P950" s="113"/>
      <c r="Q950" s="113">
        <v>46298.73</v>
      </c>
      <c r="R950" s="113">
        <v>619940</v>
      </c>
      <c r="S950" s="121">
        <v>469940</v>
      </c>
      <c r="T950" s="292">
        <f t="shared" si="302"/>
        <v>150000</v>
      </c>
      <c r="U950" s="113"/>
      <c r="V950" s="113"/>
      <c r="W950" s="113"/>
      <c r="X950" s="113"/>
      <c r="Y950" s="113"/>
      <c r="Z950" s="113"/>
      <c r="AA950" s="113"/>
      <c r="AB950" s="113"/>
      <c r="AC950" s="113"/>
      <c r="AD950" s="113"/>
      <c r="AE950" s="133"/>
      <c r="AF950" s="115"/>
      <c r="AG950" s="133"/>
      <c r="AH950" s="133"/>
      <c r="AI950" s="132">
        <f t="shared" si="303"/>
        <v>469940</v>
      </c>
      <c r="AJ950" s="132">
        <f t="shared" si="304"/>
        <v>469940</v>
      </c>
      <c r="AK950" s="133">
        <f t="shared" si="305"/>
        <v>0</v>
      </c>
      <c r="AL950" s="132"/>
      <c r="AM950" s="133" t="s">
        <v>900</v>
      </c>
      <c r="AN950" s="246">
        <v>44886</v>
      </c>
      <c r="AO950" s="137"/>
    </row>
    <row r="951" s="254" customFormat="1" customHeight="1" spans="1:57">
      <c r="A951" s="115" t="s">
        <v>7986</v>
      </c>
      <c r="B951" s="111" t="s">
        <v>7981</v>
      </c>
      <c r="C951" s="554" t="s">
        <v>7982</v>
      </c>
      <c r="D951" s="113" t="s">
        <v>7983</v>
      </c>
      <c r="E951" s="111" t="s">
        <v>7984</v>
      </c>
      <c r="F951" s="267">
        <v>1</v>
      </c>
      <c r="G951" s="268">
        <v>1157</v>
      </c>
      <c r="H951" s="274">
        <v>12.56</v>
      </c>
      <c r="I951" s="274" t="s">
        <v>2657</v>
      </c>
      <c r="J951" s="113" t="s">
        <v>7987</v>
      </c>
      <c r="K951" s="116">
        <v>15.98</v>
      </c>
      <c r="L951" s="266" t="s">
        <v>3408</v>
      </c>
      <c r="M951" s="266" t="s">
        <v>3988</v>
      </c>
      <c r="N951" s="113" t="s">
        <v>2677</v>
      </c>
      <c r="O951" s="113"/>
      <c r="P951" s="113"/>
      <c r="Q951" s="113">
        <v>46298.75</v>
      </c>
      <c r="R951" s="113">
        <v>739854</v>
      </c>
      <c r="S951" s="121">
        <v>559854</v>
      </c>
      <c r="T951" s="292">
        <f t="shared" si="302"/>
        <v>180000</v>
      </c>
      <c r="U951" s="113"/>
      <c r="V951" s="113"/>
      <c r="W951" s="113"/>
      <c r="X951" s="113"/>
      <c r="Y951" s="113"/>
      <c r="Z951" s="113"/>
      <c r="AA951" s="113"/>
      <c r="AB951" s="113"/>
      <c r="AC951" s="113"/>
      <c r="AD951" s="113"/>
      <c r="AE951" s="133"/>
      <c r="AF951" s="115"/>
      <c r="AG951" s="133"/>
      <c r="AH951" s="133"/>
      <c r="AI951" s="132">
        <f t="shared" si="303"/>
        <v>559854</v>
      </c>
      <c r="AJ951" s="132">
        <f t="shared" si="304"/>
        <v>559854</v>
      </c>
      <c r="AK951" s="133">
        <f t="shared" si="305"/>
        <v>0</v>
      </c>
      <c r="AL951" s="132"/>
      <c r="AM951" s="133" t="s">
        <v>900</v>
      </c>
      <c r="AN951" s="246">
        <v>44886</v>
      </c>
      <c r="AO951" s="137"/>
      <c r="AP951" s="97"/>
      <c r="AQ951" s="97"/>
      <c r="AR951" s="97"/>
      <c r="AS951" s="97"/>
      <c r="AT951" s="97"/>
      <c r="AU951" s="97"/>
      <c r="AV951" s="97"/>
      <c r="AW951" s="97"/>
      <c r="AX951" s="97"/>
      <c r="AY951" s="97"/>
      <c r="AZ951" s="97"/>
      <c r="BA951" s="97"/>
      <c r="BB951" s="97"/>
      <c r="BC951" s="97"/>
      <c r="BD951" s="97"/>
      <c r="BE951" s="97"/>
    </row>
    <row r="952" s="254" customFormat="1" customHeight="1" spans="1:57">
      <c r="A952" s="115" t="s">
        <v>7988</v>
      </c>
      <c r="B952" s="111" t="s">
        <v>7981</v>
      </c>
      <c r="C952" s="554" t="s">
        <v>7982</v>
      </c>
      <c r="D952" s="113" t="s">
        <v>7989</v>
      </c>
      <c r="E952" s="111" t="s">
        <v>7984</v>
      </c>
      <c r="F952" s="267">
        <v>1</v>
      </c>
      <c r="G952" s="268">
        <v>1158</v>
      </c>
      <c r="H952" s="274">
        <v>14.78</v>
      </c>
      <c r="I952" s="274" t="s">
        <v>2657</v>
      </c>
      <c r="J952" s="113" t="s">
        <v>7990</v>
      </c>
      <c r="K952" s="116">
        <v>17.8</v>
      </c>
      <c r="L952" s="266" t="s">
        <v>3408</v>
      </c>
      <c r="M952" s="266" t="s">
        <v>4055</v>
      </c>
      <c r="N952" s="113" t="s">
        <v>2677</v>
      </c>
      <c r="O952" s="113"/>
      <c r="P952" s="113"/>
      <c r="Q952" s="113">
        <v>44943.82</v>
      </c>
      <c r="R952" s="113">
        <v>800000</v>
      </c>
      <c r="S952" s="121">
        <v>600000</v>
      </c>
      <c r="T952" s="292">
        <f t="shared" si="302"/>
        <v>200000</v>
      </c>
      <c r="U952" s="113"/>
      <c r="V952" s="113"/>
      <c r="W952" s="113"/>
      <c r="X952" s="113"/>
      <c r="Y952" s="113"/>
      <c r="Z952" s="113"/>
      <c r="AA952" s="113"/>
      <c r="AB952" s="113"/>
      <c r="AC952" s="113"/>
      <c r="AD952" s="113"/>
      <c r="AE952" s="133"/>
      <c r="AF952" s="115"/>
      <c r="AG952" s="133"/>
      <c r="AH952" s="133"/>
      <c r="AI952" s="132">
        <f t="shared" si="303"/>
        <v>600000</v>
      </c>
      <c r="AJ952" s="132">
        <f t="shared" si="304"/>
        <v>600000</v>
      </c>
      <c r="AK952" s="133">
        <f t="shared" si="305"/>
        <v>0</v>
      </c>
      <c r="AL952" s="132"/>
      <c r="AM952" s="133" t="s">
        <v>900</v>
      </c>
      <c r="AN952" s="246">
        <v>44886</v>
      </c>
      <c r="AO952" s="137"/>
      <c r="AP952" s="97"/>
      <c r="AQ952" s="97"/>
      <c r="AR952" s="97"/>
      <c r="AS952" s="97"/>
      <c r="AT952" s="97"/>
      <c r="AU952" s="97"/>
      <c r="AV952" s="97"/>
      <c r="AW952" s="97"/>
      <c r="AX952" s="97"/>
      <c r="AY952" s="97"/>
      <c r="AZ952" s="97"/>
      <c r="BA952" s="97"/>
      <c r="BB952" s="97"/>
      <c r="BC952" s="97"/>
      <c r="BD952" s="97"/>
      <c r="BE952" s="97"/>
    </row>
    <row r="953" s="97" customFormat="1" customHeight="1" spans="1:41">
      <c r="A953" s="115" t="s">
        <v>7991</v>
      </c>
      <c r="B953" s="111" t="s">
        <v>7992</v>
      </c>
      <c r="C953" s="554" t="s">
        <v>7993</v>
      </c>
      <c r="D953" s="113" t="s">
        <v>7994</v>
      </c>
      <c r="E953" s="113" t="s">
        <v>7995</v>
      </c>
      <c r="F953" s="267">
        <v>1</v>
      </c>
      <c r="G953" s="268">
        <v>1687</v>
      </c>
      <c r="H953" s="274">
        <v>15.99</v>
      </c>
      <c r="I953" s="274" t="s">
        <v>2657</v>
      </c>
      <c r="J953" s="113" t="s">
        <v>7996</v>
      </c>
      <c r="K953" s="113">
        <v>14.53</v>
      </c>
      <c r="L953" s="266" t="s">
        <v>3264</v>
      </c>
      <c r="M953" s="266" t="s">
        <v>5272</v>
      </c>
      <c r="N953" s="113" t="s">
        <v>66</v>
      </c>
      <c r="O953" s="113"/>
      <c r="P953" s="113"/>
      <c r="Q953" s="113">
        <v>49045.63</v>
      </c>
      <c r="R953" s="113">
        <v>712633</v>
      </c>
      <c r="S953" s="121">
        <v>362633</v>
      </c>
      <c r="T953" s="292">
        <f t="shared" si="302"/>
        <v>350000</v>
      </c>
      <c r="U953" s="113"/>
      <c r="V953" s="113"/>
      <c r="W953" s="113"/>
      <c r="X953" s="113"/>
      <c r="Y953" s="113"/>
      <c r="Z953" s="113"/>
      <c r="AA953" s="113"/>
      <c r="AB953" s="113" t="s">
        <v>7997</v>
      </c>
      <c r="AC953" s="113"/>
      <c r="AD953" s="113"/>
      <c r="AE953" s="133"/>
      <c r="AF953" s="115"/>
      <c r="AG953" s="133"/>
      <c r="AH953" s="133"/>
      <c r="AI953" s="132">
        <f t="shared" si="303"/>
        <v>362633</v>
      </c>
      <c r="AJ953" s="132">
        <f t="shared" si="304"/>
        <v>362633</v>
      </c>
      <c r="AK953" s="133">
        <f t="shared" si="305"/>
        <v>0</v>
      </c>
      <c r="AL953" s="132"/>
      <c r="AM953" s="133" t="s">
        <v>900</v>
      </c>
      <c r="AN953" s="246">
        <v>44886</v>
      </c>
      <c r="AO953" s="137"/>
    </row>
    <row r="954" s="254" customFormat="1" customHeight="1" spans="1:57">
      <c r="A954" s="115" t="s">
        <v>7998</v>
      </c>
      <c r="B954" s="111" t="s">
        <v>7999</v>
      </c>
      <c r="C954" s="554" t="s">
        <v>8000</v>
      </c>
      <c r="D954" s="113" t="s">
        <v>8001</v>
      </c>
      <c r="E954" s="113">
        <v>18538579820</v>
      </c>
      <c r="F954" s="267">
        <v>4</v>
      </c>
      <c r="G954" s="268">
        <v>4292</v>
      </c>
      <c r="H954" s="274">
        <v>17.81</v>
      </c>
      <c r="I954" s="274" t="s">
        <v>2657</v>
      </c>
      <c r="J954" s="113" t="s">
        <v>8002</v>
      </c>
      <c r="K954" s="116">
        <v>15.73</v>
      </c>
      <c r="L954" s="266" t="s">
        <v>3326</v>
      </c>
      <c r="M954" s="266" t="s">
        <v>3001</v>
      </c>
      <c r="N954" s="113" t="s">
        <v>66</v>
      </c>
      <c r="O954" s="113"/>
      <c r="P954" s="113"/>
      <c r="Q954" s="113">
        <v>26161.28</v>
      </c>
      <c r="R954" s="113">
        <v>411517</v>
      </c>
      <c r="S954" s="121">
        <v>211517</v>
      </c>
      <c r="T954" s="292">
        <f t="shared" si="302"/>
        <v>200000</v>
      </c>
      <c r="U954" s="113"/>
      <c r="V954" s="113"/>
      <c r="W954" s="113"/>
      <c r="X954" s="113"/>
      <c r="Y954" s="113" t="s">
        <v>2669</v>
      </c>
      <c r="Z954" s="113"/>
      <c r="AA954" s="113"/>
      <c r="AB954" s="113"/>
      <c r="AC954" s="113"/>
      <c r="AD954" s="113"/>
      <c r="AE954" s="133"/>
      <c r="AF954" s="115"/>
      <c r="AG954" s="133"/>
      <c r="AH954" s="133"/>
      <c r="AI954" s="132">
        <f t="shared" si="303"/>
        <v>211517</v>
      </c>
      <c r="AJ954" s="132">
        <f t="shared" si="304"/>
        <v>211517</v>
      </c>
      <c r="AK954" s="133">
        <f t="shared" si="305"/>
        <v>0</v>
      </c>
      <c r="AL954" s="132"/>
      <c r="AM954" s="133" t="s">
        <v>900</v>
      </c>
      <c r="AN954" s="246">
        <v>44886</v>
      </c>
      <c r="AO954" s="137"/>
      <c r="AP954" s="97"/>
      <c r="AQ954" s="97"/>
      <c r="AR954" s="97"/>
      <c r="AS954" s="97"/>
      <c r="AT954" s="97"/>
      <c r="AU954" s="97"/>
      <c r="AV954" s="97"/>
      <c r="AW954" s="97"/>
      <c r="AX954" s="97"/>
      <c r="AY954" s="97"/>
      <c r="AZ954" s="97"/>
      <c r="BA954" s="97"/>
      <c r="BB954" s="97"/>
      <c r="BC954" s="97"/>
      <c r="BD954" s="97"/>
      <c r="BE954" s="97"/>
    </row>
    <row r="955" s="97" customFormat="1" customHeight="1" spans="1:41">
      <c r="A955" s="115" t="s">
        <v>8003</v>
      </c>
      <c r="B955" s="111" t="s">
        <v>8004</v>
      </c>
      <c r="C955" s="111" t="s">
        <v>8005</v>
      </c>
      <c r="D955" s="121" t="s">
        <v>8006</v>
      </c>
      <c r="E955" s="113">
        <v>15225816860</v>
      </c>
      <c r="F955" s="267">
        <v>3</v>
      </c>
      <c r="G955" s="268">
        <v>3526</v>
      </c>
      <c r="H955" s="274">
        <v>19.32</v>
      </c>
      <c r="I955" s="274" t="s">
        <v>2657</v>
      </c>
      <c r="J955" s="113" t="s">
        <v>8007</v>
      </c>
      <c r="K955" s="113">
        <v>18.69</v>
      </c>
      <c r="L955" s="266" t="s">
        <v>2882</v>
      </c>
      <c r="M955" s="266" t="s">
        <v>3264</v>
      </c>
      <c r="N955" s="113" t="s">
        <v>66</v>
      </c>
      <c r="O955" s="113"/>
      <c r="P955" s="113"/>
      <c r="Q955" s="113">
        <v>32102.73</v>
      </c>
      <c r="R955" s="113">
        <v>600000</v>
      </c>
      <c r="S955" s="121">
        <v>300000</v>
      </c>
      <c r="T955" s="292">
        <f t="shared" si="302"/>
        <v>300000</v>
      </c>
      <c r="U955" s="113"/>
      <c r="V955" s="113"/>
      <c r="W955" s="113"/>
      <c r="X955" s="113"/>
      <c r="Y955" s="113"/>
      <c r="Z955" s="113"/>
      <c r="AA955" s="113"/>
      <c r="AB955" s="113"/>
      <c r="AC955" s="113"/>
      <c r="AD955" s="113"/>
      <c r="AE955" s="133"/>
      <c r="AF955" s="115"/>
      <c r="AG955" s="133"/>
      <c r="AH955" s="133"/>
      <c r="AI955" s="132">
        <f t="shared" si="303"/>
        <v>300000</v>
      </c>
      <c r="AJ955" s="132">
        <f t="shared" si="304"/>
        <v>300000</v>
      </c>
      <c r="AK955" s="133">
        <f t="shared" si="305"/>
        <v>0</v>
      </c>
      <c r="AL955" s="132"/>
      <c r="AM955" s="133" t="s">
        <v>900</v>
      </c>
      <c r="AN955" s="246">
        <v>44886</v>
      </c>
      <c r="AO955" s="137"/>
    </row>
    <row r="956" s="97" customFormat="1" customHeight="1" spans="1:41">
      <c r="A956" s="115" t="s">
        <v>8008</v>
      </c>
      <c r="B956" s="111" t="s">
        <v>8009</v>
      </c>
      <c r="C956" s="111" t="s">
        <v>8010</v>
      </c>
      <c r="D956" s="121" t="s">
        <v>8011</v>
      </c>
      <c r="E956" s="113" t="s">
        <v>8012</v>
      </c>
      <c r="F956" s="267">
        <v>3</v>
      </c>
      <c r="G956" s="268">
        <v>3293</v>
      </c>
      <c r="H956" s="274">
        <v>16.1</v>
      </c>
      <c r="I956" s="274" t="s">
        <v>2657</v>
      </c>
      <c r="J956" s="113" t="s">
        <v>8013</v>
      </c>
      <c r="K956" s="116">
        <v>15.92</v>
      </c>
      <c r="L956" s="266" t="s">
        <v>2807</v>
      </c>
      <c r="M956" s="266" t="s">
        <v>6008</v>
      </c>
      <c r="N956" s="113" t="s">
        <v>56</v>
      </c>
      <c r="O956" s="113"/>
      <c r="P956" s="113"/>
      <c r="Q956" s="113">
        <v>30801.7</v>
      </c>
      <c r="R956" s="113">
        <v>495907</v>
      </c>
      <c r="S956" s="121">
        <v>495907</v>
      </c>
      <c r="T956" s="292">
        <f t="shared" si="302"/>
        <v>0</v>
      </c>
      <c r="U956" s="267"/>
      <c r="V956" s="267">
        <v>1046</v>
      </c>
      <c r="W956" s="267">
        <v>550</v>
      </c>
      <c r="X956" s="267"/>
      <c r="Y956" s="267" t="s">
        <v>2669</v>
      </c>
      <c r="Z956" s="267"/>
      <c r="AA956" s="267"/>
      <c r="AB956" s="113"/>
      <c r="AC956" s="113"/>
      <c r="AD956" s="113"/>
      <c r="AE956" s="133"/>
      <c r="AF956" s="115"/>
      <c r="AG956" s="133"/>
      <c r="AH956" s="133"/>
      <c r="AI956" s="132">
        <f t="shared" si="303"/>
        <v>497503</v>
      </c>
      <c r="AJ956" s="132">
        <f t="shared" si="304"/>
        <v>497503</v>
      </c>
      <c r="AK956" s="133">
        <f t="shared" si="305"/>
        <v>0</v>
      </c>
      <c r="AL956" s="132"/>
      <c r="AM956" s="133" t="s">
        <v>900</v>
      </c>
      <c r="AN956" s="246">
        <v>44886</v>
      </c>
      <c r="AO956" s="137"/>
    </row>
    <row r="957" s="97" customFormat="1" customHeight="1" spans="1:57">
      <c r="A957" s="115" t="s">
        <v>8014</v>
      </c>
      <c r="B957" s="296" t="s">
        <v>8015</v>
      </c>
      <c r="C957" s="556" t="s">
        <v>8016</v>
      </c>
      <c r="D957" s="267" t="s">
        <v>8017</v>
      </c>
      <c r="E957" s="267" t="s">
        <v>8018</v>
      </c>
      <c r="F957" s="267">
        <v>4</v>
      </c>
      <c r="G957" s="268">
        <v>485</v>
      </c>
      <c r="H957" s="274">
        <v>27.74</v>
      </c>
      <c r="I957" s="274" t="s">
        <v>2665</v>
      </c>
      <c r="J957" s="267" t="s">
        <v>8019</v>
      </c>
      <c r="K957" s="326">
        <v>30.95</v>
      </c>
      <c r="L957" s="268" t="s">
        <v>2711</v>
      </c>
      <c r="M957" s="268" t="s">
        <v>4257</v>
      </c>
      <c r="N957" s="267" t="s">
        <v>56</v>
      </c>
      <c r="O957" s="267"/>
      <c r="P957" s="267"/>
      <c r="Q957" s="274">
        <v>19621.4216478191</v>
      </c>
      <c r="R957" s="267">
        <v>544298</v>
      </c>
      <c r="S957" s="292">
        <v>544298</v>
      </c>
      <c r="T957" s="292">
        <f t="shared" si="302"/>
        <v>0</v>
      </c>
      <c r="U957" s="267"/>
      <c r="V957" s="267">
        <v>1803</v>
      </c>
      <c r="W957" s="267">
        <v>550</v>
      </c>
      <c r="X957" s="267">
        <v>60632</v>
      </c>
      <c r="Y957" s="267" t="s">
        <v>2669</v>
      </c>
      <c r="Z957" s="267"/>
      <c r="AA957" s="267"/>
      <c r="AB957" s="267"/>
      <c r="AC957" s="113"/>
      <c r="AD957" s="113"/>
      <c r="AE957" s="133"/>
      <c r="AF957" s="115"/>
      <c r="AG957" s="133"/>
      <c r="AH957" s="133"/>
      <c r="AI957" s="132">
        <f t="shared" si="303"/>
        <v>607283</v>
      </c>
      <c r="AJ957" s="132">
        <f t="shared" si="304"/>
        <v>607283</v>
      </c>
      <c r="AK957" s="133">
        <f t="shared" si="305"/>
        <v>0</v>
      </c>
      <c r="AL957" s="132"/>
      <c r="AM957" s="133" t="s">
        <v>900</v>
      </c>
      <c r="AN957" s="246">
        <v>44886</v>
      </c>
      <c r="AO957" s="137"/>
      <c r="AP957" s="254"/>
      <c r="AQ957" s="254"/>
      <c r="AR957" s="254"/>
      <c r="AS957" s="254"/>
      <c r="AT957" s="254"/>
      <c r="AU957" s="254"/>
      <c r="AV957" s="254"/>
      <c r="AW957" s="254"/>
      <c r="AX957" s="254"/>
      <c r="AY957" s="254"/>
      <c r="AZ957" s="254"/>
      <c r="BA957" s="254"/>
      <c r="BB957" s="254"/>
      <c r="BC957" s="254"/>
      <c r="BD957" s="254"/>
      <c r="BE957" s="254"/>
    </row>
    <row r="958" s="254" customFormat="1" customHeight="1" spans="1:41">
      <c r="A958" s="115" t="s">
        <v>8020</v>
      </c>
      <c r="B958" s="111" t="s">
        <v>8021</v>
      </c>
      <c r="C958" s="554" t="s">
        <v>8022</v>
      </c>
      <c r="D958" s="113" t="s">
        <v>8023</v>
      </c>
      <c r="E958" s="113">
        <v>13523628373</v>
      </c>
      <c r="F958" s="267">
        <v>4</v>
      </c>
      <c r="G958" s="268">
        <v>4437</v>
      </c>
      <c r="H958" s="274">
        <v>26.6</v>
      </c>
      <c r="I958" s="274" t="s">
        <v>2657</v>
      </c>
      <c r="J958" s="267" t="s">
        <v>8024</v>
      </c>
      <c r="K958" s="267">
        <v>21.45</v>
      </c>
      <c r="L958" s="266" t="s">
        <v>4567</v>
      </c>
      <c r="M958" s="266" t="s">
        <v>2718</v>
      </c>
      <c r="N958" s="113" t="s">
        <v>66</v>
      </c>
      <c r="O958" s="113"/>
      <c r="P958" s="113"/>
      <c r="Q958" s="113">
        <v>26321.54</v>
      </c>
      <c r="R958" s="113">
        <v>564597</v>
      </c>
      <c r="S958" s="121">
        <v>284597</v>
      </c>
      <c r="T958" s="292">
        <f t="shared" si="302"/>
        <v>280000</v>
      </c>
      <c r="U958" s="113"/>
      <c r="V958" s="113"/>
      <c r="W958" s="113"/>
      <c r="X958" s="113"/>
      <c r="Y958" s="113"/>
      <c r="Z958" s="113"/>
      <c r="AA958" s="113"/>
      <c r="AB958" s="113"/>
      <c r="AC958" s="113"/>
      <c r="AD958" s="113"/>
      <c r="AE958" s="133"/>
      <c r="AF958" s="115"/>
      <c r="AG958" s="133"/>
      <c r="AH958" s="133"/>
      <c r="AI958" s="132">
        <f t="shared" si="303"/>
        <v>284597</v>
      </c>
      <c r="AJ958" s="132">
        <f t="shared" si="304"/>
        <v>284597</v>
      </c>
      <c r="AK958" s="133">
        <f t="shared" si="305"/>
        <v>0</v>
      </c>
      <c r="AL958" s="132"/>
      <c r="AM958" s="133" t="s">
        <v>900</v>
      </c>
      <c r="AN958" s="246">
        <v>44886</v>
      </c>
      <c r="AO958" s="137"/>
    </row>
    <row r="959" s="97" customFormat="1" customHeight="1" spans="1:57">
      <c r="A959" s="106" t="s">
        <v>8025</v>
      </c>
      <c r="B959" s="111" t="s">
        <v>8026</v>
      </c>
      <c r="C959" s="111" t="s">
        <v>8027</v>
      </c>
      <c r="D959" s="121" t="s">
        <v>8028</v>
      </c>
      <c r="E959" s="113">
        <v>13838360749</v>
      </c>
      <c r="F959" s="267">
        <v>3</v>
      </c>
      <c r="G959" s="268">
        <v>3692</v>
      </c>
      <c r="H959" s="274">
        <v>15.97</v>
      </c>
      <c r="I959" s="274" t="s">
        <v>2657</v>
      </c>
      <c r="J959" s="113" t="s">
        <v>8029</v>
      </c>
      <c r="K959" s="113">
        <v>14.49</v>
      </c>
      <c r="L959" s="266" t="s">
        <v>2854</v>
      </c>
      <c r="M959" s="266" t="s">
        <v>7363</v>
      </c>
      <c r="N959" s="113" t="s">
        <v>56</v>
      </c>
      <c r="O959" s="113"/>
      <c r="P959" s="113"/>
      <c r="Q959" s="113">
        <v>31055.9</v>
      </c>
      <c r="R959" s="113">
        <v>495963</v>
      </c>
      <c r="S959" s="121">
        <v>495963</v>
      </c>
      <c r="T959" s="292">
        <f t="shared" si="302"/>
        <v>0</v>
      </c>
      <c r="U959" s="113"/>
      <c r="V959" s="113">
        <v>1038</v>
      </c>
      <c r="W959" s="113">
        <v>550</v>
      </c>
      <c r="X959" s="113"/>
      <c r="Y959" s="113" t="s">
        <v>2669</v>
      </c>
      <c r="Z959" s="113" t="s">
        <v>48</v>
      </c>
      <c r="AA959" s="305">
        <v>44188</v>
      </c>
      <c r="AB959" s="113"/>
      <c r="AC959" s="246"/>
      <c r="AD959" s="115"/>
      <c r="AE959" s="115"/>
      <c r="AF959" s="115"/>
      <c r="AG959" s="115"/>
      <c r="AH959" s="115"/>
      <c r="AI959" s="132">
        <f t="shared" si="303"/>
        <v>497551</v>
      </c>
      <c r="AJ959" s="132">
        <f t="shared" si="304"/>
        <v>497551</v>
      </c>
      <c r="AK959" s="133">
        <f t="shared" si="305"/>
        <v>0</v>
      </c>
      <c r="AL959" s="115"/>
      <c r="AM959" s="115" t="s">
        <v>974</v>
      </c>
      <c r="AN959" s="246">
        <v>44886</v>
      </c>
      <c r="AO959" s="137"/>
      <c r="AP959" s="254"/>
      <c r="AQ959" s="254"/>
      <c r="AR959" s="254"/>
      <c r="AS959" s="254"/>
      <c r="AT959" s="254"/>
      <c r="AU959" s="254"/>
      <c r="AV959" s="254"/>
      <c r="AW959" s="254"/>
      <c r="AX959" s="254"/>
      <c r="AY959" s="254"/>
      <c r="AZ959" s="254"/>
      <c r="BA959" s="254"/>
      <c r="BB959" s="254"/>
      <c r="BC959" s="254"/>
      <c r="BD959" s="254"/>
      <c r="BE959" s="254"/>
    </row>
    <row r="960" s="254" customFormat="1" customHeight="1" spans="1:57">
      <c r="A960" s="106" t="s">
        <v>8030</v>
      </c>
      <c r="B960" s="111" t="s">
        <v>8031</v>
      </c>
      <c r="C960" s="111" t="s">
        <v>8032</v>
      </c>
      <c r="D960" s="121" t="s">
        <v>8033</v>
      </c>
      <c r="E960" s="113">
        <v>13525283919</v>
      </c>
      <c r="F960" s="267">
        <v>3</v>
      </c>
      <c r="G960" s="268">
        <v>3723</v>
      </c>
      <c r="H960" s="274">
        <v>14.17</v>
      </c>
      <c r="I960" s="274" t="s">
        <v>2657</v>
      </c>
      <c r="J960" s="113" t="s">
        <v>8034</v>
      </c>
      <c r="K960" s="113">
        <v>12.82</v>
      </c>
      <c r="L960" s="266" t="s">
        <v>3793</v>
      </c>
      <c r="M960" s="266" t="s">
        <v>5392</v>
      </c>
      <c r="N960" s="113" t="s">
        <v>66</v>
      </c>
      <c r="O960" s="113"/>
      <c r="P960" s="113"/>
      <c r="Q960" s="113">
        <v>32735.34</v>
      </c>
      <c r="R960" s="113">
        <v>463860</v>
      </c>
      <c r="S960" s="121">
        <v>233860</v>
      </c>
      <c r="T960" s="292">
        <f t="shared" si="302"/>
        <v>230000</v>
      </c>
      <c r="U960" s="113"/>
      <c r="V960" s="113">
        <v>921</v>
      </c>
      <c r="W960" s="113">
        <v>550</v>
      </c>
      <c r="X960" s="113"/>
      <c r="Y960" s="113" t="s">
        <v>2669</v>
      </c>
      <c r="Z960" s="113" t="s">
        <v>48</v>
      </c>
      <c r="AA960" s="304">
        <v>44065</v>
      </c>
      <c r="AB960" s="113"/>
      <c r="AC960" s="321">
        <v>1793</v>
      </c>
      <c r="AD960" s="115"/>
      <c r="AE960" s="115"/>
      <c r="AF960" s="115"/>
      <c r="AG960" s="115"/>
      <c r="AH960" s="115"/>
      <c r="AI960" s="132">
        <f t="shared" ref="AI960:AI967" si="306">S960+U960+V960+W960+X960+AC960+AD960+AE960</f>
        <v>237124</v>
      </c>
      <c r="AJ960" s="132">
        <f t="shared" ref="AJ960:AJ967" si="307">S960+U960+V960+W960+X960</f>
        <v>235331</v>
      </c>
      <c r="AK960" s="133">
        <f t="shared" ref="AK960:AK967" si="308">AI960-AJ960</f>
        <v>1793</v>
      </c>
      <c r="AL960" s="115"/>
      <c r="AM960" s="115" t="s">
        <v>974</v>
      </c>
      <c r="AN960" s="246">
        <v>44886</v>
      </c>
      <c r="AO960" s="137"/>
      <c r="AP960" s="97"/>
      <c r="AQ960" s="97"/>
      <c r="AR960" s="97"/>
      <c r="AS960" s="97"/>
      <c r="AT960" s="97"/>
      <c r="AU960" s="97"/>
      <c r="AV960" s="97"/>
      <c r="AW960" s="97"/>
      <c r="AX960" s="97"/>
      <c r="AY960" s="97"/>
      <c r="AZ960" s="97"/>
      <c r="BA960" s="97"/>
      <c r="BB960" s="97"/>
      <c r="BC960" s="97"/>
      <c r="BD960" s="97"/>
      <c r="BE960" s="97"/>
    </row>
    <row r="961" s="97" customFormat="1" customHeight="1" spans="1:41">
      <c r="A961" s="106" t="s">
        <v>8035</v>
      </c>
      <c r="B961" s="111" t="s">
        <v>8036</v>
      </c>
      <c r="C961" s="554" t="s">
        <v>8037</v>
      </c>
      <c r="D961" s="113" t="s">
        <v>8038</v>
      </c>
      <c r="E961" s="113">
        <v>13523186166</v>
      </c>
      <c r="F961" s="267">
        <v>4</v>
      </c>
      <c r="G961" s="268">
        <v>4200</v>
      </c>
      <c r="H961" s="274">
        <v>12.55</v>
      </c>
      <c r="I961" s="274" t="s">
        <v>2657</v>
      </c>
      <c r="J961" s="113" t="s">
        <v>8039</v>
      </c>
      <c r="K961" s="113">
        <v>9.93</v>
      </c>
      <c r="L961" s="266" t="s">
        <v>3432</v>
      </c>
      <c r="M961" s="266" t="s">
        <v>8040</v>
      </c>
      <c r="N961" s="113" t="s">
        <v>66</v>
      </c>
      <c r="O961" s="113"/>
      <c r="P961" s="113"/>
      <c r="Q961" s="113">
        <v>27554.08</v>
      </c>
      <c r="R961" s="113">
        <v>345804</v>
      </c>
      <c r="S961" s="121">
        <v>175804</v>
      </c>
      <c r="T961" s="292">
        <f t="shared" si="302"/>
        <v>170000</v>
      </c>
      <c r="U961" s="113"/>
      <c r="V961" s="113">
        <v>815</v>
      </c>
      <c r="W961" s="113">
        <v>550</v>
      </c>
      <c r="X961" s="113"/>
      <c r="Y961" s="113" t="s">
        <v>2669</v>
      </c>
      <c r="Z961" s="113" t="s">
        <v>48</v>
      </c>
      <c r="AA961" s="305">
        <v>44134</v>
      </c>
      <c r="AB961" s="113"/>
      <c r="AC961" s="321">
        <v>1253</v>
      </c>
      <c r="AD961" s="115"/>
      <c r="AE961" s="115"/>
      <c r="AF961" s="115"/>
      <c r="AG961" s="115"/>
      <c r="AH961" s="115"/>
      <c r="AI961" s="132">
        <f t="shared" si="306"/>
        <v>178422</v>
      </c>
      <c r="AJ961" s="132">
        <f t="shared" si="307"/>
        <v>177169</v>
      </c>
      <c r="AK961" s="133">
        <f t="shared" si="308"/>
        <v>1253</v>
      </c>
      <c r="AL961" s="115"/>
      <c r="AM961" s="115" t="s">
        <v>974</v>
      </c>
      <c r="AN961" s="246">
        <v>44886</v>
      </c>
      <c r="AO961" s="137"/>
    </row>
    <row r="962" s="97" customFormat="1" customHeight="1" spans="1:41">
      <c r="A962" s="106" t="s">
        <v>8041</v>
      </c>
      <c r="B962" s="111" t="s">
        <v>8042</v>
      </c>
      <c r="C962" s="111" t="s">
        <v>8043</v>
      </c>
      <c r="D962" s="121" t="s">
        <v>8044</v>
      </c>
      <c r="E962" s="113">
        <v>13937931792</v>
      </c>
      <c r="F962" s="267">
        <v>3</v>
      </c>
      <c r="G962" s="268">
        <v>3751</v>
      </c>
      <c r="H962" s="274">
        <v>23.98</v>
      </c>
      <c r="I962" s="274" t="s">
        <v>2657</v>
      </c>
      <c r="J962" s="113" t="s">
        <v>8045</v>
      </c>
      <c r="K962" s="113">
        <v>19.23</v>
      </c>
      <c r="L962" s="266" t="s">
        <v>3048</v>
      </c>
      <c r="M962" s="266" t="s">
        <v>3048</v>
      </c>
      <c r="N962" s="113" t="s">
        <v>66</v>
      </c>
      <c r="O962" s="113"/>
      <c r="P962" s="113"/>
      <c r="Q962" s="113">
        <v>31466.82</v>
      </c>
      <c r="R962" s="113">
        <v>605107</v>
      </c>
      <c r="S962" s="121">
        <v>305107</v>
      </c>
      <c r="T962" s="292">
        <f t="shared" si="302"/>
        <v>300000</v>
      </c>
      <c r="U962" s="113"/>
      <c r="V962" s="113"/>
      <c r="W962" s="113"/>
      <c r="X962" s="113"/>
      <c r="Y962" s="113"/>
      <c r="Z962" s="113"/>
      <c r="AA962" s="113"/>
      <c r="AB962" s="113"/>
      <c r="AC962" s="321"/>
      <c r="AD962" s="115"/>
      <c r="AE962" s="115"/>
      <c r="AF962" s="115"/>
      <c r="AG962" s="115"/>
      <c r="AH962" s="115"/>
      <c r="AI962" s="132">
        <f t="shared" si="306"/>
        <v>305107</v>
      </c>
      <c r="AJ962" s="132">
        <f t="shared" si="307"/>
        <v>305107</v>
      </c>
      <c r="AK962" s="133">
        <f t="shared" si="308"/>
        <v>0</v>
      </c>
      <c r="AL962" s="115"/>
      <c r="AM962" s="115" t="s">
        <v>974</v>
      </c>
      <c r="AN962" s="246">
        <v>44886</v>
      </c>
      <c r="AO962" s="137"/>
    </row>
    <row r="963" s="97" customFormat="1" customHeight="1" spans="1:41">
      <c r="A963" s="106" t="s">
        <v>8046</v>
      </c>
      <c r="B963" s="111" t="s">
        <v>8047</v>
      </c>
      <c r="C963" s="554" t="s">
        <v>8048</v>
      </c>
      <c r="D963" s="113" t="s">
        <v>8049</v>
      </c>
      <c r="E963" s="113">
        <v>15638566585</v>
      </c>
      <c r="F963" s="267">
        <v>4</v>
      </c>
      <c r="G963" s="268">
        <v>4178</v>
      </c>
      <c r="H963" s="274">
        <v>33.63</v>
      </c>
      <c r="I963" s="274" t="s">
        <v>2657</v>
      </c>
      <c r="J963" s="113" t="s">
        <v>8050</v>
      </c>
      <c r="K963" s="116">
        <v>36.27</v>
      </c>
      <c r="L963" s="266" t="s">
        <v>2954</v>
      </c>
      <c r="M963" s="266" t="s">
        <v>3686</v>
      </c>
      <c r="N963" s="113" t="s">
        <v>66</v>
      </c>
      <c r="O963" s="113"/>
      <c r="P963" s="113"/>
      <c r="Q963" s="113">
        <v>25641.03</v>
      </c>
      <c r="R963" s="113">
        <v>930000</v>
      </c>
      <c r="S963" s="121">
        <v>470000</v>
      </c>
      <c r="T963" s="292">
        <f t="shared" si="302"/>
        <v>460000</v>
      </c>
      <c r="U963" s="113"/>
      <c r="V963" s="113"/>
      <c r="W963" s="113"/>
      <c r="X963" s="113"/>
      <c r="Y963" s="113"/>
      <c r="Z963" s="113"/>
      <c r="AA963" s="113"/>
      <c r="AB963" s="113"/>
      <c r="AC963" s="321"/>
      <c r="AD963" s="115"/>
      <c r="AE963" s="115"/>
      <c r="AF963" s="115"/>
      <c r="AG963" s="115"/>
      <c r="AH963" s="115"/>
      <c r="AI963" s="132">
        <f t="shared" si="306"/>
        <v>470000</v>
      </c>
      <c r="AJ963" s="132">
        <f t="shared" si="307"/>
        <v>470000</v>
      </c>
      <c r="AK963" s="133">
        <f t="shared" si="308"/>
        <v>0</v>
      </c>
      <c r="AL963" s="115"/>
      <c r="AM963" s="115" t="s">
        <v>974</v>
      </c>
      <c r="AN963" s="246">
        <v>44886</v>
      </c>
      <c r="AO963" s="137"/>
    </row>
    <row r="964" s="254" customFormat="1" customHeight="1" spans="1:57">
      <c r="A964" s="106" t="s">
        <v>8051</v>
      </c>
      <c r="B964" s="111" t="s">
        <v>8052</v>
      </c>
      <c r="C964" s="111" t="s">
        <v>8053</v>
      </c>
      <c r="D964" s="121" t="s">
        <v>8054</v>
      </c>
      <c r="E964" s="113">
        <v>15939930126</v>
      </c>
      <c r="F964" s="267">
        <v>3</v>
      </c>
      <c r="G964" s="268">
        <v>3696</v>
      </c>
      <c r="H964" s="274">
        <v>26.14</v>
      </c>
      <c r="I964" s="274" t="s">
        <v>2657</v>
      </c>
      <c r="J964" s="113" t="s">
        <v>8055</v>
      </c>
      <c r="K964" s="113">
        <v>22.11</v>
      </c>
      <c r="L964" s="266" t="s">
        <v>3205</v>
      </c>
      <c r="M964" s="266" t="s">
        <v>3029</v>
      </c>
      <c r="N964" s="113" t="s">
        <v>66</v>
      </c>
      <c r="O964" s="113"/>
      <c r="P964" s="113"/>
      <c r="Q964" s="113">
        <v>31387.83</v>
      </c>
      <c r="R964" s="113">
        <v>693985</v>
      </c>
      <c r="S964" s="121">
        <v>353985</v>
      </c>
      <c r="T964" s="292">
        <f t="shared" si="302"/>
        <v>340000</v>
      </c>
      <c r="U964" s="113"/>
      <c r="V964" s="113"/>
      <c r="W964" s="113"/>
      <c r="X964" s="113"/>
      <c r="Y964" s="113"/>
      <c r="Z964" s="113"/>
      <c r="AA964" s="113"/>
      <c r="AB964" s="113"/>
      <c r="AC964" s="321"/>
      <c r="AD964" s="115"/>
      <c r="AE964" s="115"/>
      <c r="AF964" s="115"/>
      <c r="AG964" s="115"/>
      <c r="AH964" s="115"/>
      <c r="AI964" s="132">
        <f t="shared" si="306"/>
        <v>353985</v>
      </c>
      <c r="AJ964" s="132">
        <f t="shared" si="307"/>
        <v>353985</v>
      </c>
      <c r="AK964" s="133">
        <f t="shared" si="308"/>
        <v>0</v>
      </c>
      <c r="AL964" s="115"/>
      <c r="AM964" s="115" t="s">
        <v>974</v>
      </c>
      <c r="AN964" s="246">
        <v>44886</v>
      </c>
      <c r="AO964" s="137"/>
      <c r="AP964" s="97"/>
      <c r="AQ964" s="97"/>
      <c r="AR964" s="97"/>
      <c r="AS964" s="97"/>
      <c r="AT964" s="97"/>
      <c r="AU964" s="97"/>
      <c r="AV964" s="97"/>
      <c r="AW964" s="97"/>
      <c r="AX964" s="97"/>
      <c r="AY964" s="97"/>
      <c r="AZ964" s="97"/>
      <c r="BA964" s="97"/>
      <c r="BB964" s="97"/>
      <c r="BC964" s="97"/>
      <c r="BD964" s="97"/>
      <c r="BE964" s="97"/>
    </row>
    <row r="965" s="254" customFormat="1" customHeight="1" spans="1:41">
      <c r="A965" s="106" t="s">
        <v>8056</v>
      </c>
      <c r="B965" s="111" t="s">
        <v>8057</v>
      </c>
      <c r="C965" s="554" t="s">
        <v>8058</v>
      </c>
      <c r="D965" s="113" t="s">
        <v>8059</v>
      </c>
      <c r="E965" s="113">
        <v>13838519219</v>
      </c>
      <c r="F965" s="267">
        <v>4</v>
      </c>
      <c r="G965" s="268">
        <v>4422</v>
      </c>
      <c r="H965" s="274">
        <v>10.08</v>
      </c>
      <c r="I965" s="274" t="s">
        <v>2657</v>
      </c>
      <c r="J965" s="113" t="s">
        <v>8060</v>
      </c>
      <c r="K965" s="113">
        <v>11.94</v>
      </c>
      <c r="L965" s="266" t="s">
        <v>2691</v>
      </c>
      <c r="M965" s="266" t="s">
        <v>2685</v>
      </c>
      <c r="N965" s="113" t="s">
        <v>56</v>
      </c>
      <c r="O965" s="113"/>
      <c r="P965" s="113"/>
      <c r="Q965" s="113">
        <v>27154.77</v>
      </c>
      <c r="R965" s="113">
        <v>273720</v>
      </c>
      <c r="S965" s="121">
        <v>273720</v>
      </c>
      <c r="T965" s="292">
        <f t="shared" si="302"/>
        <v>0</v>
      </c>
      <c r="U965" s="113"/>
      <c r="V965" s="113">
        <v>655</v>
      </c>
      <c r="W965" s="113">
        <v>550</v>
      </c>
      <c r="X965" s="113"/>
      <c r="Y965" s="113" t="s">
        <v>2669</v>
      </c>
      <c r="Z965" s="113" t="s">
        <v>48</v>
      </c>
      <c r="AA965" s="305">
        <v>44190</v>
      </c>
      <c r="AB965" s="113" t="s">
        <v>8061</v>
      </c>
      <c r="AC965" s="246"/>
      <c r="AD965" s="115"/>
      <c r="AE965" s="115"/>
      <c r="AF965" s="115"/>
      <c r="AG965" s="115"/>
      <c r="AH965" s="115"/>
      <c r="AI965" s="132">
        <f t="shared" si="306"/>
        <v>274925</v>
      </c>
      <c r="AJ965" s="132">
        <f t="shared" si="307"/>
        <v>274925</v>
      </c>
      <c r="AK965" s="133">
        <f t="shared" si="308"/>
        <v>0</v>
      </c>
      <c r="AL965" s="115"/>
      <c r="AM965" s="115" t="s">
        <v>974</v>
      </c>
      <c r="AN965" s="246">
        <v>44886</v>
      </c>
      <c r="AO965" s="137"/>
    </row>
    <row r="966" s="254" customFormat="1" customHeight="1" spans="1:57">
      <c r="A966" s="106" t="s">
        <v>8062</v>
      </c>
      <c r="B966" s="111" t="s">
        <v>8057</v>
      </c>
      <c r="C966" s="111" t="s">
        <v>8058</v>
      </c>
      <c r="D966" s="121" t="s">
        <v>8059</v>
      </c>
      <c r="E966" s="113">
        <v>13838519219</v>
      </c>
      <c r="F966" s="267">
        <v>3</v>
      </c>
      <c r="G966" s="268">
        <v>3703</v>
      </c>
      <c r="H966" s="274">
        <v>11.44</v>
      </c>
      <c r="I966" s="274" t="s">
        <v>2657</v>
      </c>
      <c r="J966" s="113" t="s">
        <v>8063</v>
      </c>
      <c r="K966" s="113">
        <v>11.15</v>
      </c>
      <c r="L966" s="266" t="s">
        <v>2746</v>
      </c>
      <c r="M966" s="266" t="s">
        <v>2685</v>
      </c>
      <c r="N966" s="113" t="s">
        <v>66</v>
      </c>
      <c r="O966" s="113"/>
      <c r="P966" s="113"/>
      <c r="Q966" s="113">
        <v>32619.37</v>
      </c>
      <c r="R966" s="113">
        <v>373166</v>
      </c>
      <c r="S966" s="121">
        <v>193166</v>
      </c>
      <c r="T966" s="121" t="s">
        <v>47</v>
      </c>
      <c r="U966" s="121">
        <v>180000</v>
      </c>
      <c r="V966" s="113">
        <v>743</v>
      </c>
      <c r="W966" s="113">
        <v>550</v>
      </c>
      <c r="X966" s="113"/>
      <c r="Y966" s="113" t="s">
        <v>2669</v>
      </c>
      <c r="Z966" s="113" t="s">
        <v>48</v>
      </c>
      <c r="AA966" s="304">
        <v>44086</v>
      </c>
      <c r="AB966" s="113"/>
      <c r="AC966" s="321">
        <v>1238</v>
      </c>
      <c r="AD966" s="115"/>
      <c r="AE966" s="115"/>
      <c r="AF966" s="115"/>
      <c r="AG966" s="115"/>
      <c r="AH966" s="115"/>
      <c r="AI966" s="132">
        <f t="shared" si="306"/>
        <v>375697</v>
      </c>
      <c r="AJ966" s="132">
        <f t="shared" si="307"/>
        <v>374459</v>
      </c>
      <c r="AK966" s="133">
        <f t="shared" si="308"/>
        <v>1238</v>
      </c>
      <c r="AL966" s="115"/>
      <c r="AM966" s="115" t="s">
        <v>974</v>
      </c>
      <c r="AN966" s="246">
        <v>44886</v>
      </c>
      <c r="AO966" s="137"/>
      <c r="AP966" s="97"/>
      <c r="AQ966" s="97"/>
      <c r="AR966" s="97"/>
      <c r="AS966" s="97"/>
      <c r="AT966" s="97"/>
      <c r="AU966" s="97"/>
      <c r="AV966" s="97"/>
      <c r="AW966" s="97"/>
      <c r="AX966" s="97"/>
      <c r="AY966" s="97"/>
      <c r="AZ966" s="97"/>
      <c r="BA966" s="97"/>
      <c r="BB966" s="97"/>
      <c r="BC966" s="97"/>
      <c r="BD966" s="97"/>
      <c r="BE966" s="97"/>
    </row>
    <row r="967" s="97" customFormat="1" customHeight="1" spans="1:41">
      <c r="A967" s="106" t="s">
        <v>8064</v>
      </c>
      <c r="B967" s="111" t="s">
        <v>8065</v>
      </c>
      <c r="C967" s="111" t="s">
        <v>8066</v>
      </c>
      <c r="D967" s="121" t="s">
        <v>8067</v>
      </c>
      <c r="E967" s="113">
        <v>18768895238</v>
      </c>
      <c r="F967" s="267">
        <v>3</v>
      </c>
      <c r="G967" s="268">
        <v>3834</v>
      </c>
      <c r="H967" s="274">
        <v>14.29</v>
      </c>
      <c r="I967" s="274" t="s">
        <v>2657</v>
      </c>
      <c r="J967" s="113" t="s">
        <v>8068</v>
      </c>
      <c r="K967" s="113">
        <v>12.12</v>
      </c>
      <c r="L967" s="266" t="s">
        <v>6031</v>
      </c>
      <c r="M967" s="266" t="s">
        <v>2883</v>
      </c>
      <c r="N967" s="113" t="s">
        <v>56</v>
      </c>
      <c r="O967" s="113"/>
      <c r="P967" s="113"/>
      <c r="Q967" s="113">
        <v>31570.05</v>
      </c>
      <c r="R967" s="113">
        <v>451136</v>
      </c>
      <c r="S967" s="121">
        <v>451136</v>
      </c>
      <c r="T967" s="292">
        <f t="shared" ref="T967:T981" si="309">R967-S967</f>
        <v>0</v>
      </c>
      <c r="U967" s="113"/>
      <c r="V967" s="113">
        <v>928</v>
      </c>
      <c r="W967" s="113">
        <v>550</v>
      </c>
      <c r="X967" s="113"/>
      <c r="Y967" s="113" t="s">
        <v>2669</v>
      </c>
      <c r="Z967" s="113" t="s">
        <v>48</v>
      </c>
      <c r="AA967" s="304">
        <v>44086</v>
      </c>
      <c r="AB967" s="113"/>
      <c r="AC967" s="246"/>
      <c r="AD967" s="115"/>
      <c r="AE967" s="115"/>
      <c r="AF967" s="115"/>
      <c r="AG967" s="115"/>
      <c r="AH967" s="115"/>
      <c r="AI967" s="132">
        <f t="shared" si="306"/>
        <v>452614</v>
      </c>
      <c r="AJ967" s="132">
        <f t="shared" si="307"/>
        <v>452614</v>
      </c>
      <c r="AK967" s="133">
        <f t="shared" si="308"/>
        <v>0</v>
      </c>
      <c r="AL967" s="115"/>
      <c r="AM967" s="115" t="s">
        <v>974</v>
      </c>
      <c r="AN967" s="246">
        <v>44886</v>
      </c>
      <c r="AO967" s="137"/>
    </row>
    <row r="968" s="97" customFormat="1" customHeight="1" spans="1:41">
      <c r="A968" s="106" t="s">
        <v>8069</v>
      </c>
      <c r="B968" s="111" t="s">
        <v>8070</v>
      </c>
      <c r="C968" s="111" t="s">
        <v>8071</v>
      </c>
      <c r="D968" s="121" t="s">
        <v>8072</v>
      </c>
      <c r="E968" s="113">
        <v>15093301940</v>
      </c>
      <c r="F968" s="267">
        <v>3</v>
      </c>
      <c r="G968" s="268">
        <v>3395</v>
      </c>
      <c r="H968" s="274">
        <v>14.73</v>
      </c>
      <c r="I968" s="274" t="s">
        <v>2657</v>
      </c>
      <c r="J968" s="113" t="s">
        <v>8073</v>
      </c>
      <c r="K968" s="113">
        <v>12.77</v>
      </c>
      <c r="L968" s="266" t="s">
        <v>3538</v>
      </c>
      <c r="M968" s="266" t="s">
        <v>5374</v>
      </c>
      <c r="N968" s="113" t="s">
        <v>56</v>
      </c>
      <c r="O968" s="113"/>
      <c r="P968" s="113"/>
      <c r="Q968" s="267">
        <v>30518.33</v>
      </c>
      <c r="R968" s="113">
        <v>449535</v>
      </c>
      <c r="S968" s="121">
        <v>449535</v>
      </c>
      <c r="T968" s="292">
        <f t="shared" si="309"/>
        <v>0</v>
      </c>
      <c r="U968" s="113"/>
      <c r="V968" s="113">
        <v>957</v>
      </c>
      <c r="W968" s="113">
        <v>560</v>
      </c>
      <c r="X968" s="113"/>
      <c r="Y968" s="113" t="s">
        <v>2669</v>
      </c>
      <c r="Z968" s="113" t="s">
        <v>48</v>
      </c>
      <c r="AA968" s="304">
        <v>44052</v>
      </c>
      <c r="AB968" s="113"/>
      <c r="AC968" s="246"/>
      <c r="AD968" s="115"/>
      <c r="AE968" s="115"/>
      <c r="AF968" s="115"/>
      <c r="AG968" s="115"/>
      <c r="AH968" s="115"/>
      <c r="AI968" s="132">
        <f t="shared" ref="AI968:AI979" si="310">S968+U968+V968+W968+X968+AC968+AD968+AE968</f>
        <v>451052</v>
      </c>
      <c r="AJ968" s="132">
        <f t="shared" ref="AJ968:AJ979" si="311">S968+U968+V968+W968+X968</f>
        <v>451052</v>
      </c>
      <c r="AK968" s="133">
        <f t="shared" ref="AK968:AK979" si="312">AI968-AJ968</f>
        <v>0</v>
      </c>
      <c r="AL968" s="115"/>
      <c r="AM968" s="115" t="s">
        <v>974</v>
      </c>
      <c r="AN968" s="246">
        <v>44886</v>
      </c>
      <c r="AO968" s="137"/>
    </row>
    <row r="969" s="97" customFormat="1" customHeight="1" spans="1:57">
      <c r="A969" s="106" t="s">
        <v>8074</v>
      </c>
      <c r="B969" s="111" t="s">
        <v>8075</v>
      </c>
      <c r="C969" s="111" t="s">
        <v>8076</v>
      </c>
      <c r="D969" s="121" t="s">
        <v>8077</v>
      </c>
      <c r="E969" s="113">
        <v>15188326158</v>
      </c>
      <c r="F969" s="267">
        <v>3</v>
      </c>
      <c r="G969" s="268">
        <v>3803</v>
      </c>
      <c r="H969" s="274">
        <v>24.03</v>
      </c>
      <c r="I969" s="274" t="s">
        <v>2657</v>
      </c>
      <c r="J969" s="113" t="s">
        <v>8078</v>
      </c>
      <c r="K969" s="113">
        <v>23.32</v>
      </c>
      <c r="L969" s="266" t="s">
        <v>3491</v>
      </c>
      <c r="M969" s="266" t="s">
        <v>4663</v>
      </c>
      <c r="N969" s="113" t="s">
        <v>56</v>
      </c>
      <c r="O969" s="113"/>
      <c r="P969" s="113"/>
      <c r="Q969" s="267">
        <v>29799.33</v>
      </c>
      <c r="R969" s="113">
        <v>716078</v>
      </c>
      <c r="S969" s="121">
        <v>716078</v>
      </c>
      <c r="T969" s="292">
        <f t="shared" si="309"/>
        <v>0</v>
      </c>
      <c r="U969" s="113"/>
      <c r="V969" s="113">
        <v>1561</v>
      </c>
      <c r="W969" s="113">
        <v>560</v>
      </c>
      <c r="X969" s="113"/>
      <c r="Y969" s="113" t="s">
        <v>2669</v>
      </c>
      <c r="Z969" s="113" t="s">
        <v>48</v>
      </c>
      <c r="AA969" s="304">
        <v>44051</v>
      </c>
      <c r="AB969" s="267"/>
      <c r="AC969" s="246"/>
      <c r="AD969" s="115"/>
      <c r="AE969" s="115"/>
      <c r="AF969" s="115"/>
      <c r="AG969" s="115"/>
      <c r="AH969" s="115"/>
      <c r="AI969" s="132">
        <f t="shared" si="310"/>
        <v>718199</v>
      </c>
      <c r="AJ969" s="132">
        <f t="shared" si="311"/>
        <v>718199</v>
      </c>
      <c r="AK969" s="133">
        <f t="shared" si="312"/>
        <v>0</v>
      </c>
      <c r="AL969" s="115"/>
      <c r="AM969" s="115" t="s">
        <v>974</v>
      </c>
      <c r="AN969" s="246">
        <v>44886</v>
      </c>
      <c r="AO969" s="137"/>
      <c r="AP969" s="254"/>
      <c r="AQ969" s="254"/>
      <c r="AR969" s="254"/>
      <c r="AS969" s="254"/>
      <c r="AT969" s="254"/>
      <c r="AU969" s="254"/>
      <c r="AV969" s="254"/>
      <c r="AW969" s="254"/>
      <c r="AX969" s="254"/>
      <c r="AY969" s="254"/>
      <c r="AZ969" s="254"/>
      <c r="BA969" s="254"/>
      <c r="BB969" s="254"/>
      <c r="BC969" s="254"/>
      <c r="BD969" s="254"/>
      <c r="BE969" s="254"/>
    </row>
    <row r="970" s="97" customFormat="1" customHeight="1" spans="1:57">
      <c r="A970" s="106" t="s">
        <v>8079</v>
      </c>
      <c r="B970" s="111" t="s">
        <v>8080</v>
      </c>
      <c r="C970" s="111" t="s">
        <v>8081</v>
      </c>
      <c r="D970" s="121" t="s">
        <v>8082</v>
      </c>
      <c r="E970" s="113">
        <v>18337192287</v>
      </c>
      <c r="F970" s="267">
        <v>3</v>
      </c>
      <c r="G970" s="268">
        <v>3629</v>
      </c>
      <c r="H970" s="274">
        <v>20.12</v>
      </c>
      <c r="I970" s="274" t="s">
        <v>2657</v>
      </c>
      <c r="J970" s="113" t="s">
        <v>8083</v>
      </c>
      <c r="K970" s="113">
        <v>19.82</v>
      </c>
      <c r="L970" s="266" t="s">
        <v>2691</v>
      </c>
      <c r="M970" s="266" t="s">
        <v>2897</v>
      </c>
      <c r="N970" s="113" t="s">
        <v>66</v>
      </c>
      <c r="O970" s="113"/>
      <c r="P970" s="113"/>
      <c r="Q970" s="113">
        <v>32290.62</v>
      </c>
      <c r="R970" s="113">
        <v>640000</v>
      </c>
      <c r="S970" s="121">
        <v>320000</v>
      </c>
      <c r="T970" s="292">
        <f t="shared" si="309"/>
        <v>320000</v>
      </c>
      <c r="U970" s="113"/>
      <c r="V970" s="113"/>
      <c r="W970" s="113"/>
      <c r="X970" s="113"/>
      <c r="Y970" s="113" t="s">
        <v>2669</v>
      </c>
      <c r="Z970" s="113"/>
      <c r="AA970" s="113"/>
      <c r="AB970" s="113"/>
      <c r="AC970" s="246"/>
      <c r="AD970" s="115"/>
      <c r="AE970" s="115"/>
      <c r="AF970" s="115"/>
      <c r="AG970" s="115"/>
      <c r="AH970" s="115"/>
      <c r="AI970" s="132">
        <f t="shared" si="310"/>
        <v>320000</v>
      </c>
      <c r="AJ970" s="132">
        <f t="shared" si="311"/>
        <v>320000</v>
      </c>
      <c r="AK970" s="133">
        <f t="shared" si="312"/>
        <v>0</v>
      </c>
      <c r="AL970" s="155"/>
      <c r="AM970" s="115" t="s">
        <v>974</v>
      </c>
      <c r="AN970" s="246">
        <v>44886</v>
      </c>
      <c r="AO970" s="137"/>
      <c r="AP970" s="254"/>
      <c r="AQ970" s="254"/>
      <c r="AR970" s="254"/>
      <c r="AS970" s="254"/>
      <c r="AT970" s="254"/>
      <c r="AU970" s="254"/>
      <c r="AV970" s="254"/>
      <c r="AW970" s="254"/>
      <c r="AX970" s="254"/>
      <c r="AY970" s="254"/>
      <c r="AZ970" s="254"/>
      <c r="BA970" s="254"/>
      <c r="BB970" s="254"/>
      <c r="BC970" s="254"/>
      <c r="BD970" s="254"/>
      <c r="BE970" s="254"/>
    </row>
    <row r="971" s="97" customFormat="1" customHeight="1" spans="1:57">
      <c r="A971" s="106" t="s">
        <v>8084</v>
      </c>
      <c r="B971" s="296" t="s">
        <v>8085</v>
      </c>
      <c r="C971" s="556" t="s">
        <v>8086</v>
      </c>
      <c r="D971" s="267" t="s">
        <v>8087</v>
      </c>
      <c r="E971" s="267">
        <v>15617555751</v>
      </c>
      <c r="F971" s="267">
        <v>4</v>
      </c>
      <c r="G971" s="268">
        <v>4111</v>
      </c>
      <c r="H971" s="274">
        <v>19.49</v>
      </c>
      <c r="I971" s="267" t="s">
        <v>2665</v>
      </c>
      <c r="J971" s="267"/>
      <c r="K971" s="267"/>
      <c r="L971" s="267"/>
      <c r="M971" s="266" t="s">
        <v>3017</v>
      </c>
      <c r="N971" s="266" t="s">
        <v>56</v>
      </c>
      <c r="O971" s="266"/>
      <c r="P971" s="266"/>
      <c r="Q971" s="116">
        <v>25037.13</v>
      </c>
      <c r="R971" s="267">
        <v>487974</v>
      </c>
      <c r="S971" s="267">
        <v>487974</v>
      </c>
      <c r="T971" s="292">
        <f t="shared" si="309"/>
        <v>0</v>
      </c>
      <c r="U971" s="267"/>
      <c r="V971" s="267">
        <v>1266</v>
      </c>
      <c r="W971" s="267">
        <v>550</v>
      </c>
      <c r="X971" s="267"/>
      <c r="Y971" s="267" t="s">
        <v>2669</v>
      </c>
      <c r="Z971" s="267" t="s">
        <v>48</v>
      </c>
      <c r="AA971" s="304">
        <v>44020</v>
      </c>
      <c r="AB971" s="267" t="s">
        <v>5667</v>
      </c>
      <c r="AC971" s="246"/>
      <c r="AD971" s="115"/>
      <c r="AE971" s="115"/>
      <c r="AF971" s="115"/>
      <c r="AG971" s="115"/>
      <c r="AH971" s="115"/>
      <c r="AI971" s="132">
        <f t="shared" si="310"/>
        <v>489790</v>
      </c>
      <c r="AJ971" s="132">
        <f t="shared" si="311"/>
        <v>489790</v>
      </c>
      <c r="AK971" s="133">
        <f t="shared" si="312"/>
        <v>0</v>
      </c>
      <c r="AL971" s="155"/>
      <c r="AM971" s="115" t="s">
        <v>974</v>
      </c>
      <c r="AN971" s="246">
        <v>44886</v>
      </c>
      <c r="AO971" s="137"/>
      <c r="AP971" s="254"/>
      <c r="AQ971" s="254"/>
      <c r="AR971" s="254"/>
      <c r="AS971" s="254"/>
      <c r="AT971" s="254"/>
      <c r="AU971" s="254"/>
      <c r="AV971" s="254"/>
      <c r="AW971" s="254"/>
      <c r="AX971" s="254"/>
      <c r="AY971" s="254"/>
      <c r="AZ971" s="254"/>
      <c r="BA971" s="254"/>
      <c r="BB971" s="254"/>
      <c r="BC971" s="254"/>
      <c r="BD971" s="254"/>
      <c r="BE971" s="254"/>
    </row>
    <row r="972" s="97" customFormat="1" customHeight="1" spans="1:41">
      <c r="A972" s="106" t="s">
        <v>8088</v>
      </c>
      <c r="B972" s="296" t="s">
        <v>8085</v>
      </c>
      <c r="C972" s="556" t="s">
        <v>8086</v>
      </c>
      <c r="D972" s="267" t="s">
        <v>8087</v>
      </c>
      <c r="E972" s="267">
        <v>15617555751</v>
      </c>
      <c r="F972" s="267">
        <v>4</v>
      </c>
      <c r="G972" s="268">
        <v>4432</v>
      </c>
      <c r="H972" s="274">
        <v>18.79</v>
      </c>
      <c r="I972" s="274" t="s">
        <v>2665</v>
      </c>
      <c r="J972" s="113" t="s">
        <v>8089</v>
      </c>
      <c r="K972" s="116">
        <v>28.2</v>
      </c>
      <c r="L972" s="266" t="s">
        <v>3252</v>
      </c>
      <c r="M972" s="266" t="s">
        <v>3017</v>
      </c>
      <c r="N972" s="266" t="s">
        <v>56</v>
      </c>
      <c r="O972" s="266"/>
      <c r="P972" s="266"/>
      <c r="Q972" s="116">
        <v>25037.13</v>
      </c>
      <c r="R972" s="121">
        <v>470448</v>
      </c>
      <c r="S972" s="121">
        <v>470448</v>
      </c>
      <c r="T972" s="292">
        <f t="shared" si="309"/>
        <v>0</v>
      </c>
      <c r="U972" s="113"/>
      <c r="V972" s="113">
        <v>1221</v>
      </c>
      <c r="W972" s="113">
        <v>550</v>
      </c>
      <c r="X972" s="113"/>
      <c r="Y972" s="113" t="s">
        <v>2669</v>
      </c>
      <c r="Z972" s="113" t="s">
        <v>48</v>
      </c>
      <c r="AA972" s="304">
        <v>44020</v>
      </c>
      <c r="AB972" s="267" t="s">
        <v>5667</v>
      </c>
      <c r="AC972" s="246"/>
      <c r="AD972" s="115"/>
      <c r="AE972" s="115"/>
      <c r="AF972" s="115"/>
      <c r="AG972" s="115"/>
      <c r="AH972" s="115"/>
      <c r="AI972" s="132">
        <f t="shared" si="310"/>
        <v>472219</v>
      </c>
      <c r="AJ972" s="132">
        <f t="shared" si="311"/>
        <v>472219</v>
      </c>
      <c r="AK972" s="133">
        <f t="shared" si="312"/>
        <v>0</v>
      </c>
      <c r="AL972" s="155" t="s">
        <v>8090</v>
      </c>
      <c r="AM972" s="115" t="s">
        <v>974</v>
      </c>
      <c r="AN972" s="246">
        <v>44886</v>
      </c>
      <c r="AO972" s="137"/>
    </row>
    <row r="973" s="254" customFormat="1" customHeight="1" spans="1:57">
      <c r="A973" s="106" t="s">
        <v>8091</v>
      </c>
      <c r="B973" s="296" t="s">
        <v>8085</v>
      </c>
      <c r="C973" s="556" t="s">
        <v>8086</v>
      </c>
      <c r="D973" s="267" t="s">
        <v>8087</v>
      </c>
      <c r="E973" s="267">
        <v>15617555751</v>
      </c>
      <c r="F973" s="267">
        <v>4</v>
      </c>
      <c r="G973" s="268">
        <v>4434</v>
      </c>
      <c r="H973" s="274">
        <v>18.79</v>
      </c>
      <c r="I973" s="274" t="s">
        <v>2665</v>
      </c>
      <c r="J973" s="113" t="s">
        <v>8092</v>
      </c>
      <c r="K973" s="116">
        <v>28.2</v>
      </c>
      <c r="L973" s="266" t="s">
        <v>3252</v>
      </c>
      <c r="M973" s="266" t="s">
        <v>3017</v>
      </c>
      <c r="N973" s="266" t="s">
        <v>56</v>
      </c>
      <c r="O973" s="266"/>
      <c r="P973" s="266"/>
      <c r="Q973" s="116">
        <v>25037.13</v>
      </c>
      <c r="R973" s="121">
        <v>470448</v>
      </c>
      <c r="S973" s="121">
        <v>470448</v>
      </c>
      <c r="T973" s="292">
        <f t="shared" si="309"/>
        <v>0</v>
      </c>
      <c r="U973" s="113"/>
      <c r="V973" s="113">
        <v>1221</v>
      </c>
      <c r="W973" s="113">
        <v>550</v>
      </c>
      <c r="X973" s="113"/>
      <c r="Y973" s="113" t="s">
        <v>2669</v>
      </c>
      <c r="Z973" s="113" t="s">
        <v>48</v>
      </c>
      <c r="AA973" s="304">
        <v>44020</v>
      </c>
      <c r="AB973" s="267" t="s">
        <v>5667</v>
      </c>
      <c r="AC973" s="246"/>
      <c r="AD973" s="115"/>
      <c r="AE973" s="115"/>
      <c r="AF973" s="115"/>
      <c r="AG973" s="115"/>
      <c r="AH973" s="115"/>
      <c r="AI973" s="132">
        <f t="shared" si="310"/>
        <v>472219</v>
      </c>
      <c r="AJ973" s="132">
        <f t="shared" si="311"/>
        <v>472219</v>
      </c>
      <c r="AK973" s="133">
        <f t="shared" si="312"/>
        <v>0</v>
      </c>
      <c r="AL973" s="155" t="s">
        <v>8090</v>
      </c>
      <c r="AM973" s="115" t="s">
        <v>974</v>
      </c>
      <c r="AN973" s="246">
        <v>44886</v>
      </c>
      <c r="AO973" s="137"/>
      <c r="AP973" s="97"/>
      <c r="AQ973" s="97"/>
      <c r="AR973" s="97"/>
      <c r="AS973" s="97"/>
      <c r="AT973" s="97"/>
      <c r="AU973" s="97"/>
      <c r="AV973" s="97"/>
      <c r="AW973" s="97"/>
      <c r="AX973" s="97"/>
      <c r="AY973" s="97"/>
      <c r="AZ973" s="97"/>
      <c r="BA973" s="97"/>
      <c r="BB973" s="97"/>
      <c r="BC973" s="97"/>
      <c r="BD973" s="97"/>
      <c r="BE973" s="97"/>
    </row>
    <row r="974" s="254" customFormat="1" customHeight="1" spans="1:57">
      <c r="A974" s="106" t="s">
        <v>8093</v>
      </c>
      <c r="B974" s="111" t="s">
        <v>8094</v>
      </c>
      <c r="C974" s="554" t="s">
        <v>8095</v>
      </c>
      <c r="D974" s="113" t="s">
        <v>8096</v>
      </c>
      <c r="E974" s="113">
        <v>15093083200</v>
      </c>
      <c r="F974" s="267">
        <v>4</v>
      </c>
      <c r="G974" s="268">
        <v>460</v>
      </c>
      <c r="H974" s="274">
        <v>17.13</v>
      </c>
      <c r="I974" s="274" t="s">
        <v>2657</v>
      </c>
      <c r="J974" s="113" t="s">
        <v>8097</v>
      </c>
      <c r="K974" s="113">
        <v>17.89</v>
      </c>
      <c r="L974" s="266" t="s">
        <v>3740</v>
      </c>
      <c r="M974" s="266" t="s">
        <v>3326</v>
      </c>
      <c r="N974" s="113" t="s">
        <v>66</v>
      </c>
      <c r="O974" s="113"/>
      <c r="P974" s="113"/>
      <c r="Q974" s="113">
        <v>26297.88</v>
      </c>
      <c r="R974" s="113">
        <v>470469</v>
      </c>
      <c r="S974" s="121">
        <v>240469</v>
      </c>
      <c r="T974" s="292">
        <f t="shared" si="309"/>
        <v>230000</v>
      </c>
      <c r="U974" s="113"/>
      <c r="V974" s="113"/>
      <c r="W974" s="113"/>
      <c r="X974" s="113"/>
      <c r="Y974" s="113"/>
      <c r="Z974" s="113"/>
      <c r="AA974" s="113"/>
      <c r="AB974" s="113"/>
      <c r="AC974" s="246"/>
      <c r="AD974" s="115"/>
      <c r="AE974" s="115"/>
      <c r="AF974" s="115"/>
      <c r="AG974" s="115"/>
      <c r="AH974" s="115"/>
      <c r="AI974" s="132">
        <f t="shared" si="310"/>
        <v>240469</v>
      </c>
      <c r="AJ974" s="132">
        <f t="shared" si="311"/>
        <v>240469</v>
      </c>
      <c r="AK974" s="133">
        <f t="shared" si="312"/>
        <v>0</v>
      </c>
      <c r="AL974" s="155"/>
      <c r="AM974" s="115" t="s">
        <v>974</v>
      </c>
      <c r="AN974" s="246">
        <v>44886</v>
      </c>
      <c r="AO974" s="137"/>
      <c r="AP974" s="97"/>
      <c r="AQ974" s="97"/>
      <c r="AR974" s="97"/>
      <c r="AS974" s="97"/>
      <c r="AT974" s="97"/>
      <c r="AU974" s="97"/>
      <c r="AV974" s="97"/>
      <c r="AW974" s="97"/>
      <c r="AX974" s="97"/>
      <c r="AY974" s="97"/>
      <c r="AZ974" s="97"/>
      <c r="BA974" s="97"/>
      <c r="BB974" s="97"/>
      <c r="BC974" s="97"/>
      <c r="BD974" s="97"/>
      <c r="BE974" s="97"/>
    </row>
    <row r="975" s="254" customFormat="1" customHeight="1" spans="1:57">
      <c r="A975" s="106" t="s">
        <v>8098</v>
      </c>
      <c r="B975" s="111" t="s">
        <v>8099</v>
      </c>
      <c r="C975" s="111" t="s">
        <v>8100</v>
      </c>
      <c r="D975" s="113" t="s">
        <v>8101</v>
      </c>
      <c r="E975" s="113">
        <v>15036561099</v>
      </c>
      <c r="F975" s="267">
        <v>4</v>
      </c>
      <c r="G975" s="268">
        <v>4320</v>
      </c>
      <c r="H975" s="274">
        <v>35.46</v>
      </c>
      <c r="I975" s="274" t="s">
        <v>2657</v>
      </c>
      <c r="J975" s="113" t="s">
        <v>8102</v>
      </c>
      <c r="K975" s="116">
        <v>31.32</v>
      </c>
      <c r="L975" s="266" t="s">
        <v>3205</v>
      </c>
      <c r="M975" s="266" t="s">
        <v>3497</v>
      </c>
      <c r="N975" s="113" t="s">
        <v>2677</v>
      </c>
      <c r="O975" s="113"/>
      <c r="P975" s="113"/>
      <c r="Q975" s="113">
        <v>25542.78</v>
      </c>
      <c r="R975" s="113">
        <v>800000</v>
      </c>
      <c r="S975" s="121">
        <v>400000</v>
      </c>
      <c r="T975" s="292">
        <f t="shared" si="309"/>
        <v>400000</v>
      </c>
      <c r="U975" s="113"/>
      <c r="V975" s="113"/>
      <c r="W975" s="113"/>
      <c r="X975" s="113"/>
      <c r="Y975" s="113"/>
      <c r="Z975" s="113"/>
      <c r="AA975" s="113"/>
      <c r="AB975" s="113" t="s">
        <v>8103</v>
      </c>
      <c r="AC975" s="246"/>
      <c r="AD975" s="115"/>
      <c r="AE975" s="115"/>
      <c r="AF975" s="115"/>
      <c r="AG975" s="115"/>
      <c r="AH975" s="115"/>
      <c r="AI975" s="132">
        <f t="shared" si="310"/>
        <v>400000</v>
      </c>
      <c r="AJ975" s="132">
        <f t="shared" si="311"/>
        <v>400000</v>
      </c>
      <c r="AK975" s="133">
        <f t="shared" si="312"/>
        <v>0</v>
      </c>
      <c r="AL975" s="155"/>
      <c r="AM975" s="115" t="s">
        <v>974</v>
      </c>
      <c r="AN975" s="246">
        <v>44886</v>
      </c>
      <c r="AO975" s="137"/>
      <c r="AP975" s="97"/>
      <c r="AQ975" s="97"/>
      <c r="AR975" s="97"/>
      <c r="AS975" s="97"/>
      <c r="AT975" s="97"/>
      <c r="AU975" s="97"/>
      <c r="AV975" s="97"/>
      <c r="AW975" s="97"/>
      <c r="AX975" s="97"/>
      <c r="AY975" s="97"/>
      <c r="AZ975" s="97"/>
      <c r="BA975" s="97"/>
      <c r="BB975" s="97"/>
      <c r="BC975" s="97"/>
      <c r="BD975" s="97"/>
      <c r="BE975" s="97"/>
    </row>
    <row r="976" s="254" customFormat="1" customHeight="1" spans="1:41">
      <c r="A976" s="106" t="s">
        <v>8104</v>
      </c>
      <c r="B976" s="111" t="s">
        <v>8105</v>
      </c>
      <c r="C976" s="554" t="s">
        <v>8106</v>
      </c>
      <c r="D976" s="116" t="s">
        <v>8107</v>
      </c>
      <c r="E976" s="113">
        <v>15203903177</v>
      </c>
      <c r="F976" s="267">
        <v>4</v>
      </c>
      <c r="G976" s="268">
        <v>4324</v>
      </c>
      <c r="H976" s="274">
        <v>60.57</v>
      </c>
      <c r="I976" s="274" t="s">
        <v>2657</v>
      </c>
      <c r="J976" s="113" t="s">
        <v>8108</v>
      </c>
      <c r="K976" s="116">
        <v>54.87</v>
      </c>
      <c r="L976" s="266" t="s">
        <v>2875</v>
      </c>
      <c r="M976" s="266" t="s">
        <v>4202</v>
      </c>
      <c r="N976" s="113" t="s">
        <v>66</v>
      </c>
      <c r="O976" s="113"/>
      <c r="P976" s="113"/>
      <c r="Q976" s="113">
        <v>25394.97</v>
      </c>
      <c r="R976" s="113">
        <v>1393422</v>
      </c>
      <c r="S976" s="121">
        <v>703422</v>
      </c>
      <c r="T976" s="292">
        <f t="shared" si="309"/>
        <v>690000</v>
      </c>
      <c r="U976" s="113"/>
      <c r="V976" s="113"/>
      <c r="W976" s="113"/>
      <c r="X976" s="113"/>
      <c r="Y976" s="113"/>
      <c r="Z976" s="113"/>
      <c r="AA976" s="113"/>
      <c r="AB976" s="113"/>
      <c r="AC976" s="246"/>
      <c r="AD976" s="115"/>
      <c r="AE976" s="115"/>
      <c r="AF976" s="115"/>
      <c r="AG976" s="115"/>
      <c r="AH976" s="115"/>
      <c r="AI976" s="132">
        <f t="shared" si="310"/>
        <v>703422</v>
      </c>
      <c r="AJ976" s="132">
        <f t="shared" si="311"/>
        <v>703422</v>
      </c>
      <c r="AK976" s="133">
        <f t="shared" si="312"/>
        <v>0</v>
      </c>
      <c r="AL976" s="155"/>
      <c r="AM976" s="115" t="s">
        <v>974</v>
      </c>
      <c r="AN976" s="246">
        <v>44886</v>
      </c>
      <c r="AO976" s="137"/>
    </row>
    <row r="977" s="254" customFormat="1" customHeight="1" spans="1:41">
      <c r="A977" s="106" t="s">
        <v>8109</v>
      </c>
      <c r="B977" s="111" t="s">
        <v>8105</v>
      </c>
      <c r="C977" s="111" t="s">
        <v>8106</v>
      </c>
      <c r="D977" s="121" t="s">
        <v>8107</v>
      </c>
      <c r="E977" s="113">
        <v>15203903177</v>
      </c>
      <c r="F977" s="267">
        <v>3</v>
      </c>
      <c r="G977" s="268">
        <v>3871</v>
      </c>
      <c r="H977" s="274">
        <v>25.7</v>
      </c>
      <c r="I977" s="274" t="s">
        <v>2657</v>
      </c>
      <c r="J977" s="113" t="s">
        <v>8110</v>
      </c>
      <c r="K977" s="113">
        <v>23.86</v>
      </c>
      <c r="L977" s="266" t="s">
        <v>6031</v>
      </c>
      <c r="M977" s="266" t="s">
        <v>4202</v>
      </c>
      <c r="N977" s="113" t="s">
        <v>66</v>
      </c>
      <c r="O977" s="113"/>
      <c r="P977" s="113"/>
      <c r="Q977" s="113">
        <v>29243.81</v>
      </c>
      <c r="R977" s="113">
        <v>751566</v>
      </c>
      <c r="S977" s="121">
        <v>381566</v>
      </c>
      <c r="T977" s="292">
        <f t="shared" si="309"/>
        <v>370000</v>
      </c>
      <c r="U977" s="113"/>
      <c r="V977" s="113"/>
      <c r="W977" s="113"/>
      <c r="X977" s="113"/>
      <c r="Y977" s="113"/>
      <c r="Z977" s="113"/>
      <c r="AA977" s="113"/>
      <c r="AB977" s="113"/>
      <c r="AC977" s="246"/>
      <c r="AD977" s="115"/>
      <c r="AE977" s="115"/>
      <c r="AF977" s="115"/>
      <c r="AG977" s="115"/>
      <c r="AH977" s="115"/>
      <c r="AI977" s="132">
        <f t="shared" si="310"/>
        <v>381566</v>
      </c>
      <c r="AJ977" s="132">
        <f t="shared" si="311"/>
        <v>381566</v>
      </c>
      <c r="AK977" s="133">
        <f t="shared" si="312"/>
        <v>0</v>
      </c>
      <c r="AL977" s="155"/>
      <c r="AM977" s="115" t="s">
        <v>974</v>
      </c>
      <c r="AN977" s="246">
        <v>44886</v>
      </c>
      <c r="AO977" s="137"/>
    </row>
    <row r="978" s="257" customFormat="1" customHeight="1" spans="1:57">
      <c r="A978" s="106" t="s">
        <v>8111</v>
      </c>
      <c r="B978" s="111" t="s">
        <v>8112</v>
      </c>
      <c r="C978" s="554" t="s">
        <v>8113</v>
      </c>
      <c r="D978" s="113" t="s">
        <v>8114</v>
      </c>
      <c r="E978" s="113" t="s">
        <v>8115</v>
      </c>
      <c r="F978" s="267">
        <v>1</v>
      </c>
      <c r="G978" s="268">
        <v>1780</v>
      </c>
      <c r="H978" s="274">
        <v>18.83</v>
      </c>
      <c r="I978" s="274" t="s">
        <v>2657</v>
      </c>
      <c r="J978" s="113" t="s">
        <v>8116</v>
      </c>
      <c r="K978" s="113">
        <v>19.3</v>
      </c>
      <c r="L978" s="266" t="s">
        <v>2740</v>
      </c>
      <c r="M978" s="266" t="s">
        <v>8117</v>
      </c>
      <c r="N978" s="113" t="s">
        <v>56</v>
      </c>
      <c r="O978" s="113"/>
      <c r="P978" s="113"/>
      <c r="Q978" s="113">
        <v>45595.85</v>
      </c>
      <c r="R978" s="113">
        <v>858570</v>
      </c>
      <c r="S978" s="121">
        <v>858570</v>
      </c>
      <c r="T978" s="292">
        <f t="shared" si="309"/>
        <v>0</v>
      </c>
      <c r="U978" s="113"/>
      <c r="V978" s="113">
        <v>1223</v>
      </c>
      <c r="W978" s="113">
        <v>550</v>
      </c>
      <c r="X978" s="113">
        <v>19657</v>
      </c>
      <c r="Y978" s="113" t="s">
        <v>2669</v>
      </c>
      <c r="Z978" s="113" t="s">
        <v>48</v>
      </c>
      <c r="AA978" s="305">
        <v>44187</v>
      </c>
      <c r="AB978" s="113"/>
      <c r="AC978" s="246"/>
      <c r="AD978" s="115"/>
      <c r="AE978" s="115"/>
      <c r="AF978" s="115"/>
      <c r="AG978" s="115"/>
      <c r="AH978" s="115"/>
      <c r="AI978" s="132">
        <f t="shared" si="310"/>
        <v>880000</v>
      </c>
      <c r="AJ978" s="132">
        <f t="shared" si="311"/>
        <v>880000</v>
      </c>
      <c r="AK978" s="133">
        <f t="shared" si="312"/>
        <v>0</v>
      </c>
      <c r="AL978" s="155"/>
      <c r="AM978" s="115" t="s">
        <v>974</v>
      </c>
      <c r="AN978" s="246">
        <v>44886</v>
      </c>
      <c r="AO978" s="137"/>
      <c r="AP978" s="254"/>
      <c r="AQ978" s="254"/>
      <c r="AR978" s="254"/>
      <c r="AS978" s="254"/>
      <c r="AT978" s="254"/>
      <c r="AU978" s="254"/>
      <c r="AV978" s="254"/>
      <c r="AW978" s="254"/>
      <c r="AX978" s="254"/>
      <c r="AY978" s="254"/>
      <c r="AZ978" s="254"/>
      <c r="BA978" s="254"/>
      <c r="BB978" s="254"/>
      <c r="BC978" s="254"/>
      <c r="BD978" s="254"/>
      <c r="BE978" s="254"/>
    </row>
    <row r="979" s="254" customFormat="1" customHeight="1" spans="1:41">
      <c r="A979" s="106" t="s">
        <v>8118</v>
      </c>
      <c r="B979" s="336" t="s">
        <v>8119</v>
      </c>
      <c r="C979" s="554" t="s">
        <v>8120</v>
      </c>
      <c r="D979" s="113" t="s">
        <v>8121</v>
      </c>
      <c r="E979" s="113">
        <v>15038146698</v>
      </c>
      <c r="F979" s="267">
        <v>4</v>
      </c>
      <c r="G979" s="268">
        <v>4335</v>
      </c>
      <c r="H979" s="274">
        <v>37.74</v>
      </c>
      <c r="I979" s="274" t="s">
        <v>2657</v>
      </c>
      <c r="J979" s="113" t="s">
        <v>8122</v>
      </c>
      <c r="K979" s="116">
        <v>35.39</v>
      </c>
      <c r="L979" s="266" t="s">
        <v>3131</v>
      </c>
      <c r="M979" s="266" t="s">
        <v>5198</v>
      </c>
      <c r="N979" s="113" t="s">
        <v>66</v>
      </c>
      <c r="O979" s="113"/>
      <c r="P979" s="113"/>
      <c r="Q979" s="113">
        <v>26657.29</v>
      </c>
      <c r="R979" s="113">
        <v>1006046</v>
      </c>
      <c r="S979" s="121">
        <v>506046</v>
      </c>
      <c r="T979" s="292">
        <f t="shared" si="309"/>
        <v>500000</v>
      </c>
      <c r="U979" s="113"/>
      <c r="V979" s="113">
        <v>2453</v>
      </c>
      <c r="W979" s="113">
        <v>550</v>
      </c>
      <c r="X979" s="113"/>
      <c r="Y979" s="113" t="s">
        <v>2669</v>
      </c>
      <c r="Z979" s="113" t="s">
        <v>48</v>
      </c>
      <c r="AA979" s="304">
        <v>44079</v>
      </c>
      <c r="AB979" s="113"/>
      <c r="AC979" s="321">
        <v>1270</v>
      </c>
      <c r="AD979" s="115"/>
      <c r="AE979" s="115"/>
      <c r="AF979" s="115"/>
      <c r="AG979" s="115"/>
      <c r="AH979" s="115"/>
      <c r="AI979" s="132">
        <f t="shared" si="310"/>
        <v>510319</v>
      </c>
      <c r="AJ979" s="132">
        <f t="shared" si="311"/>
        <v>509049</v>
      </c>
      <c r="AK979" s="133">
        <f t="shared" si="312"/>
        <v>1270</v>
      </c>
      <c r="AL979" s="155"/>
      <c r="AM979" s="115" t="s">
        <v>974</v>
      </c>
      <c r="AN979" s="246">
        <v>44886</v>
      </c>
      <c r="AO979" s="137"/>
    </row>
    <row r="980" s="97" customFormat="1" customHeight="1" spans="1:57">
      <c r="A980" s="106" t="s">
        <v>8123</v>
      </c>
      <c r="B980" s="111" t="s">
        <v>8124</v>
      </c>
      <c r="C980" s="111" t="s">
        <v>8125</v>
      </c>
      <c r="D980" s="121" t="s">
        <v>8126</v>
      </c>
      <c r="E980" s="113">
        <v>13838108785</v>
      </c>
      <c r="F980" s="267">
        <v>3</v>
      </c>
      <c r="G980" s="268">
        <v>3595</v>
      </c>
      <c r="H980" s="274">
        <v>18.16</v>
      </c>
      <c r="I980" s="274" t="s">
        <v>2657</v>
      </c>
      <c r="J980" s="113" t="s">
        <v>5876</v>
      </c>
      <c r="K980" s="113">
        <v>16.86</v>
      </c>
      <c r="L980" s="266" t="s">
        <v>6865</v>
      </c>
      <c r="M980" s="266" t="s">
        <v>6865</v>
      </c>
      <c r="N980" s="113" t="s">
        <v>66</v>
      </c>
      <c r="O980" s="113"/>
      <c r="P980" s="113"/>
      <c r="Q980" s="113">
        <v>32073.67</v>
      </c>
      <c r="R980" s="113">
        <v>540762</v>
      </c>
      <c r="S980" s="121">
        <v>270762</v>
      </c>
      <c r="T980" s="292">
        <f t="shared" si="309"/>
        <v>270000</v>
      </c>
      <c r="U980" s="113"/>
      <c r="V980" s="113"/>
      <c r="W980" s="113"/>
      <c r="X980" s="113"/>
      <c r="Y980" s="113"/>
      <c r="Z980" s="113"/>
      <c r="AA980" s="113"/>
      <c r="AB980" s="113"/>
      <c r="AC980" s="321"/>
      <c r="AD980" s="115"/>
      <c r="AE980" s="115"/>
      <c r="AF980" s="115"/>
      <c r="AG980" s="115"/>
      <c r="AH980" s="115"/>
      <c r="AI980" s="132">
        <f t="shared" ref="AI980:AI991" si="313">S980+U980+V980+W980+X980+AC980+AD980+AE980</f>
        <v>270762</v>
      </c>
      <c r="AJ980" s="132">
        <f t="shared" ref="AJ980:AJ991" si="314">S980+U980+V980+W980+X980</f>
        <v>270762</v>
      </c>
      <c r="AK980" s="133">
        <f t="shared" ref="AK980:AK991" si="315">AI980-AJ980</f>
        <v>0</v>
      </c>
      <c r="AL980" s="155"/>
      <c r="AM980" s="115" t="s">
        <v>974</v>
      </c>
      <c r="AN980" s="246">
        <v>44886</v>
      </c>
      <c r="AO980" s="137"/>
      <c r="AP980" s="254"/>
      <c r="AQ980" s="254"/>
      <c r="AR980" s="254"/>
      <c r="AS980" s="254"/>
      <c r="AT980" s="254"/>
      <c r="AU980" s="254"/>
      <c r="AV980" s="254"/>
      <c r="AW980" s="254"/>
      <c r="AX980" s="254"/>
      <c r="AY980" s="254"/>
      <c r="AZ980" s="254"/>
      <c r="BA980" s="254"/>
      <c r="BB980" s="254"/>
      <c r="BC980" s="254"/>
      <c r="BD980" s="254"/>
      <c r="BE980" s="254"/>
    </row>
    <row r="981" s="254" customFormat="1" customHeight="1" spans="1:41">
      <c r="A981" s="106" t="s">
        <v>8127</v>
      </c>
      <c r="B981" s="111" t="s">
        <v>8128</v>
      </c>
      <c r="C981" s="111" t="s">
        <v>8129</v>
      </c>
      <c r="D981" s="121" t="s">
        <v>8130</v>
      </c>
      <c r="E981" s="113">
        <v>13503792700</v>
      </c>
      <c r="F981" s="267">
        <v>3</v>
      </c>
      <c r="G981" s="268">
        <v>3755</v>
      </c>
      <c r="H981" s="274">
        <v>19.47</v>
      </c>
      <c r="I981" s="274" t="s">
        <v>2657</v>
      </c>
      <c r="J981" s="113" t="s">
        <v>8131</v>
      </c>
      <c r="K981" s="113">
        <v>24.59</v>
      </c>
      <c r="L981" s="266" t="s">
        <v>3048</v>
      </c>
      <c r="M981" s="266" t="s">
        <v>3634</v>
      </c>
      <c r="N981" s="113" t="s">
        <v>66</v>
      </c>
      <c r="O981" s="113"/>
      <c r="P981" s="113"/>
      <c r="Q981" s="113">
        <v>31383.25</v>
      </c>
      <c r="R981" s="113">
        <v>771714</v>
      </c>
      <c r="S981" s="121">
        <v>391714</v>
      </c>
      <c r="T981" s="292">
        <f t="shared" si="309"/>
        <v>380000</v>
      </c>
      <c r="U981" s="113"/>
      <c r="V981" s="113"/>
      <c r="W981" s="113"/>
      <c r="X981" s="113"/>
      <c r="Y981" s="113"/>
      <c r="Z981" s="113"/>
      <c r="AA981" s="113"/>
      <c r="AB981" s="113"/>
      <c r="AC981" s="321"/>
      <c r="AD981" s="115"/>
      <c r="AE981" s="115"/>
      <c r="AF981" s="115"/>
      <c r="AG981" s="115"/>
      <c r="AH981" s="115"/>
      <c r="AI981" s="132">
        <f t="shared" si="313"/>
        <v>391714</v>
      </c>
      <c r="AJ981" s="132">
        <f t="shared" si="314"/>
        <v>391714</v>
      </c>
      <c r="AK981" s="133">
        <f t="shared" si="315"/>
        <v>0</v>
      </c>
      <c r="AL981" s="155"/>
      <c r="AM981" s="115" t="s">
        <v>974</v>
      </c>
      <c r="AN981" s="246">
        <v>44886</v>
      </c>
      <c r="AO981" s="137"/>
    </row>
    <row r="982" s="97" customFormat="1" customHeight="1" spans="1:57">
      <c r="A982" s="106" t="s">
        <v>8132</v>
      </c>
      <c r="B982" s="111" t="s">
        <v>8133</v>
      </c>
      <c r="C982" s="111" t="s">
        <v>8134</v>
      </c>
      <c r="D982" s="121" t="s">
        <v>8135</v>
      </c>
      <c r="E982" s="113">
        <v>18037216921</v>
      </c>
      <c r="F982" s="267">
        <v>3</v>
      </c>
      <c r="G982" s="268">
        <v>3721</v>
      </c>
      <c r="H982" s="274">
        <v>14.17</v>
      </c>
      <c r="I982" s="274" t="s">
        <v>2657</v>
      </c>
      <c r="J982" s="113" t="s">
        <v>8136</v>
      </c>
      <c r="K982" s="113">
        <v>12.82</v>
      </c>
      <c r="L982" s="266" t="s">
        <v>3793</v>
      </c>
      <c r="M982" s="266" t="s">
        <v>2685</v>
      </c>
      <c r="N982" s="113" t="s">
        <v>66</v>
      </c>
      <c r="O982" s="113"/>
      <c r="P982" s="113"/>
      <c r="Q982" s="113">
        <v>32404.6</v>
      </c>
      <c r="R982" s="113">
        <v>459173</v>
      </c>
      <c r="S982" s="121">
        <v>239173</v>
      </c>
      <c r="T982" s="292"/>
      <c r="U982" s="113">
        <v>220000</v>
      </c>
      <c r="V982" s="113">
        <v>921</v>
      </c>
      <c r="W982" s="113">
        <v>550</v>
      </c>
      <c r="X982" s="113"/>
      <c r="Y982" s="113" t="s">
        <v>2669</v>
      </c>
      <c r="Z982" s="113" t="s">
        <v>48</v>
      </c>
      <c r="AA982" s="113">
        <v>44021</v>
      </c>
      <c r="AB982" s="113"/>
      <c r="AC982" s="321">
        <v>1241</v>
      </c>
      <c r="AD982" s="115"/>
      <c r="AE982" s="115"/>
      <c r="AF982" s="115"/>
      <c r="AG982" s="115"/>
      <c r="AH982" s="115"/>
      <c r="AI982" s="132">
        <f t="shared" si="313"/>
        <v>461885</v>
      </c>
      <c r="AJ982" s="132">
        <f t="shared" si="314"/>
        <v>460644</v>
      </c>
      <c r="AK982" s="133">
        <f t="shared" si="315"/>
        <v>1241</v>
      </c>
      <c r="AL982" s="155" t="s">
        <v>8137</v>
      </c>
      <c r="AM982" s="115" t="s">
        <v>974</v>
      </c>
      <c r="AN982" s="246">
        <v>44886</v>
      </c>
      <c r="AO982" s="137"/>
      <c r="AP982" s="254"/>
      <c r="AQ982" s="254"/>
      <c r="AR982" s="254"/>
      <c r="AS982" s="254"/>
      <c r="AT982" s="254"/>
      <c r="AU982" s="254"/>
      <c r="AV982" s="254"/>
      <c r="AW982" s="254"/>
      <c r="AX982" s="254"/>
      <c r="AY982" s="254"/>
      <c r="AZ982" s="254"/>
      <c r="BA982" s="254"/>
      <c r="BB982" s="254"/>
      <c r="BC982" s="254"/>
      <c r="BD982" s="254"/>
      <c r="BE982" s="254"/>
    </row>
    <row r="983" s="97" customFormat="1" customHeight="1" spans="1:57">
      <c r="A983" s="106" t="s">
        <v>8138</v>
      </c>
      <c r="B983" s="111" t="s">
        <v>8139</v>
      </c>
      <c r="C983" s="554" t="s">
        <v>8140</v>
      </c>
      <c r="D983" s="121" t="s">
        <v>8141</v>
      </c>
      <c r="E983" s="113">
        <v>13803852105</v>
      </c>
      <c r="F983" s="267">
        <v>4</v>
      </c>
      <c r="G983" s="268">
        <v>4347</v>
      </c>
      <c r="H983" s="274">
        <v>12.98</v>
      </c>
      <c r="I983" s="274" t="s">
        <v>2657</v>
      </c>
      <c r="J983" s="113" t="s">
        <v>8142</v>
      </c>
      <c r="K983" s="113">
        <v>12.09</v>
      </c>
      <c r="L983" s="266" t="s">
        <v>3096</v>
      </c>
      <c r="M983" s="266" t="s">
        <v>3577</v>
      </c>
      <c r="N983" s="113" t="s">
        <v>56</v>
      </c>
      <c r="O983" s="113"/>
      <c r="P983" s="113"/>
      <c r="Q983" s="113">
        <v>25491.07</v>
      </c>
      <c r="R983" s="113">
        <v>308187</v>
      </c>
      <c r="S983" s="121">
        <v>308187</v>
      </c>
      <c r="T983" s="292">
        <f t="shared" ref="T983:T998" si="316">R983-S983</f>
        <v>0</v>
      </c>
      <c r="U983" s="113"/>
      <c r="V983" s="113"/>
      <c r="W983" s="113"/>
      <c r="X983" s="113"/>
      <c r="Y983" s="113"/>
      <c r="Z983" s="113"/>
      <c r="AA983" s="113"/>
      <c r="AB983" s="113"/>
      <c r="AC983" s="321"/>
      <c r="AD983" s="115"/>
      <c r="AE983" s="115"/>
      <c r="AF983" s="115"/>
      <c r="AG983" s="115"/>
      <c r="AH983" s="115"/>
      <c r="AI983" s="132">
        <f t="shared" si="313"/>
        <v>308187</v>
      </c>
      <c r="AJ983" s="132">
        <f t="shared" si="314"/>
        <v>308187</v>
      </c>
      <c r="AK983" s="133">
        <f t="shared" si="315"/>
        <v>0</v>
      </c>
      <c r="AL983" s="155"/>
      <c r="AM983" s="115" t="s">
        <v>974</v>
      </c>
      <c r="AN983" s="246">
        <v>44886</v>
      </c>
      <c r="AO983" s="137"/>
      <c r="AP983" s="254"/>
      <c r="AQ983" s="254"/>
      <c r="AR983" s="254"/>
      <c r="AS983" s="254"/>
      <c r="AT983" s="254"/>
      <c r="AU983" s="254"/>
      <c r="AV983" s="254"/>
      <c r="AW983" s="254"/>
      <c r="AX983" s="254"/>
      <c r="AY983" s="254"/>
      <c r="AZ983" s="254"/>
      <c r="BA983" s="254"/>
      <c r="BB983" s="254"/>
      <c r="BC983" s="254"/>
      <c r="BD983" s="254"/>
      <c r="BE983" s="254"/>
    </row>
    <row r="984" s="97" customFormat="1" customHeight="1" spans="1:57">
      <c r="A984" s="106" t="s">
        <v>8143</v>
      </c>
      <c r="B984" s="111" t="s">
        <v>8144</v>
      </c>
      <c r="C984" s="111" t="s">
        <v>8145</v>
      </c>
      <c r="D984" s="121" t="s">
        <v>8146</v>
      </c>
      <c r="E984" s="113">
        <v>13393738171</v>
      </c>
      <c r="F984" s="267">
        <v>3</v>
      </c>
      <c r="G984" s="268">
        <v>3597</v>
      </c>
      <c r="H984" s="274">
        <v>18.16</v>
      </c>
      <c r="I984" s="274" t="s">
        <v>2657</v>
      </c>
      <c r="J984" s="113" t="s">
        <v>8147</v>
      </c>
      <c r="K984" s="113">
        <v>15.7</v>
      </c>
      <c r="L984" s="266" t="s">
        <v>8148</v>
      </c>
      <c r="M984" s="266" t="s">
        <v>8149</v>
      </c>
      <c r="N984" s="113" t="s">
        <v>56</v>
      </c>
      <c r="O984" s="113"/>
      <c r="P984" s="113"/>
      <c r="Q984" s="113">
        <v>31781.02</v>
      </c>
      <c r="R984" s="113">
        <v>498962</v>
      </c>
      <c r="S984" s="121">
        <v>258962</v>
      </c>
      <c r="T984" s="292">
        <f t="shared" si="316"/>
        <v>240000</v>
      </c>
      <c r="U984" s="113"/>
      <c r="V984" s="113"/>
      <c r="W984" s="113"/>
      <c r="X984" s="113"/>
      <c r="Y984" s="113"/>
      <c r="Z984" s="113"/>
      <c r="AA984" s="113"/>
      <c r="AB984" s="113"/>
      <c r="AC984" s="321"/>
      <c r="AD984" s="115"/>
      <c r="AE984" s="115"/>
      <c r="AF984" s="115"/>
      <c r="AG984" s="115"/>
      <c r="AH984" s="115"/>
      <c r="AI984" s="132">
        <f t="shared" si="313"/>
        <v>258962</v>
      </c>
      <c r="AJ984" s="132">
        <f t="shared" si="314"/>
        <v>258962</v>
      </c>
      <c r="AK984" s="133">
        <f t="shared" si="315"/>
        <v>0</v>
      </c>
      <c r="AL984" s="155"/>
      <c r="AM984" s="115" t="s">
        <v>974</v>
      </c>
      <c r="AN984" s="246">
        <v>44886</v>
      </c>
      <c r="AO984" s="137"/>
      <c r="AP984" s="254"/>
      <c r="AQ984" s="254"/>
      <c r="AR984" s="254"/>
      <c r="AS984" s="254"/>
      <c r="AT984" s="254"/>
      <c r="AU984" s="254"/>
      <c r="AV984" s="254"/>
      <c r="AW984" s="254"/>
      <c r="AX984" s="254"/>
      <c r="AY984" s="254"/>
      <c r="AZ984" s="254"/>
      <c r="BA984" s="254"/>
      <c r="BB984" s="254"/>
      <c r="BC984" s="254"/>
      <c r="BD984" s="254"/>
      <c r="BE984" s="254"/>
    </row>
    <row r="985" s="97" customFormat="1" customHeight="1" spans="1:57">
      <c r="A985" s="106" t="s">
        <v>8150</v>
      </c>
      <c r="B985" s="111" t="s">
        <v>8151</v>
      </c>
      <c r="C985" s="554" t="s">
        <v>8152</v>
      </c>
      <c r="D985" s="121" t="s">
        <v>8153</v>
      </c>
      <c r="E985" s="113" t="s">
        <v>8154</v>
      </c>
      <c r="F985" s="267">
        <v>1</v>
      </c>
      <c r="G985" s="268">
        <v>1122</v>
      </c>
      <c r="H985" s="274">
        <v>46.87</v>
      </c>
      <c r="I985" s="274" t="s">
        <v>2665</v>
      </c>
      <c r="J985" s="113" t="s">
        <v>8155</v>
      </c>
      <c r="K985" s="113">
        <v>47.74</v>
      </c>
      <c r="L985" s="266" t="s">
        <v>7379</v>
      </c>
      <c r="M985" s="266" t="s">
        <v>3766</v>
      </c>
      <c r="N985" s="113" t="s">
        <v>66</v>
      </c>
      <c r="O985" s="113"/>
      <c r="P985" s="113"/>
      <c r="Q985" s="113">
        <v>58106.4097193129</v>
      </c>
      <c r="R985" s="113">
        <v>2723447</v>
      </c>
      <c r="S985" s="121">
        <v>1390447</v>
      </c>
      <c r="T985" s="292">
        <f t="shared" si="316"/>
        <v>1333000</v>
      </c>
      <c r="U985" s="113"/>
      <c r="V985" s="113">
        <v>3046</v>
      </c>
      <c r="W985" s="113">
        <v>550</v>
      </c>
      <c r="X985" s="113"/>
      <c r="Y985" s="113"/>
      <c r="Z985" s="113"/>
      <c r="AA985" s="113"/>
      <c r="AB985" s="113" t="s">
        <v>8156</v>
      </c>
      <c r="AC985" s="321"/>
      <c r="AD985" s="115"/>
      <c r="AE985" s="115"/>
      <c r="AF985" s="115"/>
      <c r="AG985" s="115"/>
      <c r="AH985" s="115"/>
      <c r="AI985" s="132">
        <f t="shared" si="313"/>
        <v>1394043</v>
      </c>
      <c r="AJ985" s="132">
        <f t="shared" si="314"/>
        <v>1394043</v>
      </c>
      <c r="AK985" s="133">
        <f t="shared" si="315"/>
        <v>0</v>
      </c>
      <c r="AL985" s="155"/>
      <c r="AM985" s="115" t="s">
        <v>974</v>
      </c>
      <c r="AN985" s="246">
        <v>44886</v>
      </c>
      <c r="AO985" s="137"/>
      <c r="AP985" s="254"/>
      <c r="AQ985" s="254"/>
      <c r="AR985" s="254"/>
      <c r="AS985" s="254"/>
      <c r="AT985" s="254"/>
      <c r="AU985" s="254"/>
      <c r="AV985" s="254"/>
      <c r="AW985" s="254"/>
      <c r="AX985" s="254"/>
      <c r="AY985" s="254"/>
      <c r="AZ985" s="254"/>
      <c r="BA985" s="254"/>
      <c r="BB985" s="254"/>
      <c r="BC985" s="254"/>
      <c r="BD985" s="254"/>
      <c r="BE985" s="254"/>
    </row>
    <row r="986" s="97" customFormat="1" customHeight="1" spans="1:57">
      <c r="A986" s="346" t="s">
        <v>8157</v>
      </c>
      <c r="B986" s="111" t="s">
        <v>8158</v>
      </c>
      <c r="C986" s="554" t="s">
        <v>8159</v>
      </c>
      <c r="D986" s="121" t="s">
        <v>8160</v>
      </c>
      <c r="E986" s="113">
        <v>15839188568</v>
      </c>
      <c r="F986" s="267">
        <v>1</v>
      </c>
      <c r="G986" s="268">
        <v>1657</v>
      </c>
      <c r="H986" s="274">
        <v>18.8</v>
      </c>
      <c r="I986" s="274" t="s">
        <v>2657</v>
      </c>
      <c r="J986" s="113" t="s">
        <v>8161</v>
      </c>
      <c r="K986" s="113">
        <v>20.17</v>
      </c>
      <c r="L986" s="266" t="s">
        <v>3490</v>
      </c>
      <c r="M986" s="266" t="s">
        <v>3029</v>
      </c>
      <c r="N986" s="113" t="s">
        <v>66</v>
      </c>
      <c r="O986" s="113"/>
      <c r="P986" s="113"/>
      <c r="Q986" s="113"/>
      <c r="R986" s="113"/>
      <c r="S986" s="121">
        <v>70000</v>
      </c>
      <c r="T986" s="292">
        <f t="shared" si="316"/>
        <v>-70000</v>
      </c>
      <c r="U986" s="113"/>
      <c r="V986" s="113"/>
      <c r="W986" s="113"/>
      <c r="X986" s="113"/>
      <c r="Y986" s="113"/>
      <c r="Z986" s="113"/>
      <c r="AA986" s="113"/>
      <c r="AB986" s="113"/>
      <c r="AC986" s="321"/>
      <c r="AD986" s="115"/>
      <c r="AE986" s="115"/>
      <c r="AF986" s="115"/>
      <c r="AG986" s="115"/>
      <c r="AH986" s="115"/>
      <c r="AI986" s="132">
        <f t="shared" si="313"/>
        <v>70000</v>
      </c>
      <c r="AJ986" s="132">
        <f t="shared" si="314"/>
        <v>70000</v>
      </c>
      <c r="AK986" s="133">
        <f t="shared" si="315"/>
        <v>0</v>
      </c>
      <c r="AL986" s="155"/>
      <c r="AM986" s="115" t="s">
        <v>974</v>
      </c>
      <c r="AN986" s="246">
        <v>44886</v>
      </c>
      <c r="AO986" s="137"/>
      <c r="AP986" s="254"/>
      <c r="AQ986" s="254"/>
      <c r="AR986" s="254"/>
      <c r="AS986" s="254"/>
      <c r="AT986" s="254"/>
      <c r="AU986" s="254"/>
      <c r="AV986" s="254"/>
      <c r="AW986" s="254"/>
      <c r="AX986" s="254"/>
      <c r="AY986" s="254"/>
      <c r="AZ986" s="254"/>
      <c r="BA986" s="254"/>
      <c r="BB986" s="254"/>
      <c r="BC986" s="254"/>
      <c r="BD986" s="254"/>
      <c r="BE986" s="254"/>
    </row>
    <row r="987" s="254" customFormat="1" customHeight="1" spans="1:41">
      <c r="A987" s="106" t="s">
        <v>8162</v>
      </c>
      <c r="B987" s="111" t="s">
        <v>8163</v>
      </c>
      <c r="C987" s="554" t="s">
        <v>8164</v>
      </c>
      <c r="D987" s="121" t="s">
        <v>8165</v>
      </c>
      <c r="E987" s="113">
        <v>15516962700</v>
      </c>
      <c r="F987" s="267">
        <v>1</v>
      </c>
      <c r="G987" s="268">
        <v>1229</v>
      </c>
      <c r="H987" s="274">
        <v>14.06</v>
      </c>
      <c r="I987" s="274" t="s">
        <v>2657</v>
      </c>
      <c r="J987" s="113" t="s">
        <v>8166</v>
      </c>
      <c r="K987" s="113">
        <v>14.78</v>
      </c>
      <c r="L987" s="266" t="s">
        <v>2960</v>
      </c>
      <c r="M987" s="266" t="s">
        <v>5198</v>
      </c>
      <c r="N987" s="113" t="s">
        <v>56</v>
      </c>
      <c r="O987" s="113"/>
      <c r="P987" s="113"/>
      <c r="Q987" s="113">
        <v>47361.3</v>
      </c>
      <c r="R987" s="113">
        <v>665900</v>
      </c>
      <c r="S987" s="121">
        <v>665900</v>
      </c>
      <c r="T987" s="292">
        <f t="shared" si="316"/>
        <v>0</v>
      </c>
      <c r="U987" s="113"/>
      <c r="V987" s="113">
        <v>913</v>
      </c>
      <c r="W987" s="113">
        <v>550</v>
      </c>
      <c r="X987" s="113"/>
      <c r="Y987" s="113" t="s">
        <v>2669</v>
      </c>
      <c r="Z987" s="113" t="s">
        <v>48</v>
      </c>
      <c r="AA987" s="113">
        <v>44050</v>
      </c>
      <c r="AB987" s="113"/>
      <c r="AC987" s="321"/>
      <c r="AD987" s="115"/>
      <c r="AE987" s="115"/>
      <c r="AF987" s="115"/>
      <c r="AG987" s="115"/>
      <c r="AH987" s="115"/>
      <c r="AI987" s="132">
        <f t="shared" si="313"/>
        <v>667363</v>
      </c>
      <c r="AJ987" s="132">
        <f t="shared" si="314"/>
        <v>667363</v>
      </c>
      <c r="AK987" s="133">
        <f t="shared" si="315"/>
        <v>0</v>
      </c>
      <c r="AL987" s="155"/>
      <c r="AM987" s="115" t="s">
        <v>974</v>
      </c>
      <c r="AN987" s="246">
        <v>44886</v>
      </c>
      <c r="AO987" s="137"/>
    </row>
    <row r="988" s="254" customFormat="1" customHeight="1" spans="1:41">
      <c r="A988" s="106" t="s">
        <v>8167</v>
      </c>
      <c r="B988" s="111" t="s">
        <v>8168</v>
      </c>
      <c r="C988" s="554" t="s">
        <v>8169</v>
      </c>
      <c r="D988" s="121" t="s">
        <v>8170</v>
      </c>
      <c r="E988" s="113">
        <v>18638293625</v>
      </c>
      <c r="F988" s="267">
        <v>1</v>
      </c>
      <c r="G988" s="268">
        <v>1556</v>
      </c>
      <c r="H988" s="274">
        <v>15.32</v>
      </c>
      <c r="I988" s="274" t="s">
        <v>2657</v>
      </c>
      <c r="J988" s="113" t="s">
        <v>8171</v>
      </c>
      <c r="K988" s="113">
        <v>14.56</v>
      </c>
      <c r="L988" s="266" t="s">
        <v>2961</v>
      </c>
      <c r="M988" s="266" t="s">
        <v>7001</v>
      </c>
      <c r="N988" s="113" t="s">
        <v>56</v>
      </c>
      <c r="O988" s="113"/>
      <c r="P988" s="113"/>
      <c r="Q988" s="113">
        <v>47253.3</v>
      </c>
      <c r="R988" s="113">
        <v>723921</v>
      </c>
      <c r="S988" s="121">
        <v>723921</v>
      </c>
      <c r="T988" s="292">
        <f t="shared" si="316"/>
        <v>0</v>
      </c>
      <c r="U988" s="113"/>
      <c r="V988" s="113">
        <v>995</v>
      </c>
      <c r="W988" s="113">
        <v>550</v>
      </c>
      <c r="X988" s="113"/>
      <c r="Y988" s="113" t="s">
        <v>2669</v>
      </c>
      <c r="Z988" s="113"/>
      <c r="AA988" s="113"/>
      <c r="AB988" s="113"/>
      <c r="AC988" s="321"/>
      <c r="AD988" s="115"/>
      <c r="AE988" s="115"/>
      <c r="AF988" s="115"/>
      <c r="AG988" s="115"/>
      <c r="AH988" s="115"/>
      <c r="AI988" s="132">
        <f t="shared" si="313"/>
        <v>725466</v>
      </c>
      <c r="AJ988" s="132">
        <f t="shared" si="314"/>
        <v>725466</v>
      </c>
      <c r="AK988" s="133">
        <f t="shared" si="315"/>
        <v>0</v>
      </c>
      <c r="AL988" s="155"/>
      <c r="AM988" s="115" t="s">
        <v>974</v>
      </c>
      <c r="AN988" s="246">
        <v>44886</v>
      </c>
      <c r="AO988" s="137"/>
    </row>
    <row r="989" s="97" customFormat="1" customHeight="1" spans="1:57">
      <c r="A989" s="106" t="s">
        <v>8172</v>
      </c>
      <c r="B989" s="111" t="s">
        <v>8173</v>
      </c>
      <c r="C989" s="554" t="s">
        <v>8174</v>
      </c>
      <c r="D989" s="121" t="s">
        <v>8175</v>
      </c>
      <c r="E989" s="113">
        <v>13803888010</v>
      </c>
      <c r="F989" s="267">
        <v>4</v>
      </c>
      <c r="G989" s="268">
        <v>4135</v>
      </c>
      <c r="H989" s="274">
        <v>49.31</v>
      </c>
      <c r="I989" s="274" t="s">
        <v>2657</v>
      </c>
      <c r="J989" s="113" t="s">
        <v>8176</v>
      </c>
      <c r="K989" s="113">
        <v>44.88</v>
      </c>
      <c r="L989" s="266" t="s">
        <v>3048</v>
      </c>
      <c r="M989" s="266" t="s">
        <v>8177</v>
      </c>
      <c r="N989" s="113" t="s">
        <v>56</v>
      </c>
      <c r="O989" s="113"/>
      <c r="P989" s="113"/>
      <c r="Q989" s="113">
        <v>24782</v>
      </c>
      <c r="R989" s="113">
        <v>1222000</v>
      </c>
      <c r="S989" s="121">
        <v>1222000</v>
      </c>
      <c r="T989" s="292">
        <f t="shared" si="316"/>
        <v>0</v>
      </c>
      <c r="U989" s="113"/>
      <c r="V989" s="113">
        <v>3205</v>
      </c>
      <c r="W989" s="113">
        <v>550</v>
      </c>
      <c r="X989" s="113"/>
      <c r="Y989" s="113" t="s">
        <v>2669</v>
      </c>
      <c r="Z989" s="113" t="s">
        <v>48</v>
      </c>
      <c r="AA989" s="113">
        <v>44050</v>
      </c>
      <c r="AB989" s="113" t="s">
        <v>8178</v>
      </c>
      <c r="AC989" s="321"/>
      <c r="AD989" s="115"/>
      <c r="AE989" s="115"/>
      <c r="AF989" s="115"/>
      <c r="AG989" s="115"/>
      <c r="AH989" s="115"/>
      <c r="AI989" s="132">
        <f t="shared" si="313"/>
        <v>1225755</v>
      </c>
      <c r="AJ989" s="132">
        <f t="shared" si="314"/>
        <v>1225755</v>
      </c>
      <c r="AK989" s="133">
        <f t="shared" si="315"/>
        <v>0</v>
      </c>
      <c r="AL989" s="155"/>
      <c r="AM989" s="115" t="s">
        <v>974</v>
      </c>
      <c r="AN989" s="246">
        <v>44886</v>
      </c>
      <c r="AO989" s="137"/>
      <c r="AP989" s="254"/>
      <c r="AQ989" s="254"/>
      <c r="AR989" s="254"/>
      <c r="AS989" s="254"/>
      <c r="AT989" s="254"/>
      <c r="AU989" s="254"/>
      <c r="AV989" s="254"/>
      <c r="AW989" s="254"/>
      <c r="AX989" s="254"/>
      <c r="AY989" s="254"/>
      <c r="AZ989" s="254"/>
      <c r="BA989" s="254"/>
      <c r="BB989" s="254"/>
      <c r="BC989" s="254"/>
      <c r="BD989" s="254"/>
      <c r="BE989" s="254"/>
    </row>
    <row r="990" s="97" customFormat="1" customHeight="1" spans="1:57">
      <c r="A990" s="106" t="s">
        <v>8179</v>
      </c>
      <c r="B990" s="111" t="s">
        <v>8173</v>
      </c>
      <c r="C990" s="554" t="s">
        <v>8180</v>
      </c>
      <c r="D990" s="121" t="s">
        <v>8175</v>
      </c>
      <c r="E990" s="113">
        <v>13803888010</v>
      </c>
      <c r="F990" s="267">
        <v>1</v>
      </c>
      <c r="G990" s="268">
        <v>1233</v>
      </c>
      <c r="H990" s="274">
        <v>24.75</v>
      </c>
      <c r="I990" s="274" t="s">
        <v>2657</v>
      </c>
      <c r="J990" s="113" t="s">
        <v>8181</v>
      </c>
      <c r="K990" s="113">
        <v>25</v>
      </c>
      <c r="L990" s="266" t="s">
        <v>3048</v>
      </c>
      <c r="M990" s="266" t="s">
        <v>8177</v>
      </c>
      <c r="N990" s="113" t="s">
        <v>56</v>
      </c>
      <c r="O990" s="113"/>
      <c r="P990" s="113"/>
      <c r="Q990" s="113">
        <v>46423.95</v>
      </c>
      <c r="R990" s="113">
        <v>1148993</v>
      </c>
      <c r="S990" s="121">
        <v>1148993</v>
      </c>
      <c r="T990" s="292">
        <f t="shared" si="316"/>
        <v>0</v>
      </c>
      <c r="U990" s="113"/>
      <c r="V990" s="113">
        <v>1608</v>
      </c>
      <c r="W990" s="113">
        <v>550</v>
      </c>
      <c r="X990" s="113"/>
      <c r="Y990" s="113" t="s">
        <v>2669</v>
      </c>
      <c r="Z990" s="113" t="s">
        <v>48</v>
      </c>
      <c r="AA990" s="113">
        <v>44050</v>
      </c>
      <c r="AB990" s="113" t="s">
        <v>8182</v>
      </c>
      <c r="AC990" s="321"/>
      <c r="AD990" s="115"/>
      <c r="AE990" s="115"/>
      <c r="AF990" s="115"/>
      <c r="AG990" s="115"/>
      <c r="AH990" s="115"/>
      <c r="AI990" s="132">
        <f t="shared" si="313"/>
        <v>1151151</v>
      </c>
      <c r="AJ990" s="132">
        <f t="shared" si="314"/>
        <v>1151151</v>
      </c>
      <c r="AK990" s="133">
        <f t="shared" si="315"/>
        <v>0</v>
      </c>
      <c r="AL990" s="155"/>
      <c r="AM990" s="115" t="s">
        <v>974</v>
      </c>
      <c r="AN990" s="246">
        <v>44886</v>
      </c>
      <c r="AO990" s="137"/>
      <c r="AP990" s="254"/>
      <c r="AQ990" s="254"/>
      <c r="AR990" s="254"/>
      <c r="AS990" s="254"/>
      <c r="AT990" s="254"/>
      <c r="AU990" s="254"/>
      <c r="AV990" s="254"/>
      <c r="AW990" s="254"/>
      <c r="AX990" s="254"/>
      <c r="AY990" s="254"/>
      <c r="AZ990" s="254"/>
      <c r="BA990" s="254"/>
      <c r="BB990" s="254"/>
      <c r="BC990" s="254"/>
      <c r="BD990" s="254"/>
      <c r="BE990" s="254"/>
    </row>
    <row r="991" s="97" customFormat="1" customHeight="1" spans="1:57">
      <c r="A991" s="339" t="s">
        <v>8183</v>
      </c>
      <c r="B991" s="111" t="s">
        <v>8184</v>
      </c>
      <c r="C991" s="554" t="s">
        <v>8185</v>
      </c>
      <c r="D991" s="113" t="s">
        <v>8186</v>
      </c>
      <c r="E991" s="113">
        <v>13839088027</v>
      </c>
      <c r="F991" s="267">
        <v>1</v>
      </c>
      <c r="G991" s="268">
        <v>1695</v>
      </c>
      <c r="H991" s="274">
        <v>14.73</v>
      </c>
      <c r="I991" s="274" t="s">
        <v>2657</v>
      </c>
      <c r="J991" s="113" t="s">
        <v>8187</v>
      </c>
      <c r="K991" s="113">
        <v>14.66</v>
      </c>
      <c r="L991" s="266" t="s">
        <v>4587</v>
      </c>
      <c r="M991" s="266" t="s">
        <v>3009</v>
      </c>
      <c r="N991" s="113" t="s">
        <v>66</v>
      </c>
      <c r="O991" s="113"/>
      <c r="P991" s="113"/>
      <c r="Q991" s="113">
        <v>47953.62</v>
      </c>
      <c r="R991" s="113">
        <v>703000</v>
      </c>
      <c r="S991" s="121">
        <v>353000</v>
      </c>
      <c r="T991" s="292">
        <f t="shared" si="316"/>
        <v>350000</v>
      </c>
      <c r="U991" s="113"/>
      <c r="V991" s="113"/>
      <c r="W991" s="113"/>
      <c r="X991" s="113"/>
      <c r="Y991" s="113"/>
      <c r="Z991" s="113"/>
      <c r="AA991" s="113"/>
      <c r="AB991" s="113"/>
      <c r="AC991" s="321"/>
      <c r="AD991" s="115"/>
      <c r="AE991" s="115"/>
      <c r="AF991" s="115"/>
      <c r="AG991" s="115"/>
      <c r="AH991" s="115"/>
      <c r="AI991" s="132">
        <f t="shared" si="313"/>
        <v>353000</v>
      </c>
      <c r="AJ991" s="132">
        <f t="shared" si="314"/>
        <v>353000</v>
      </c>
      <c r="AK991" s="133">
        <f t="shared" si="315"/>
        <v>0</v>
      </c>
      <c r="AL991" s="155"/>
      <c r="AM991" s="115" t="s">
        <v>974</v>
      </c>
      <c r="AN991" s="246">
        <v>44886</v>
      </c>
      <c r="AO991" s="137"/>
      <c r="AP991" s="254"/>
      <c r="AQ991" s="254"/>
      <c r="AR991" s="254"/>
      <c r="AS991" s="254"/>
      <c r="AT991" s="254"/>
      <c r="AU991" s="254"/>
      <c r="AV991" s="254"/>
      <c r="AW991" s="254"/>
      <c r="AX991" s="254"/>
      <c r="AY991" s="254"/>
      <c r="AZ991" s="254"/>
      <c r="BA991" s="254"/>
      <c r="BB991" s="254"/>
      <c r="BC991" s="254"/>
      <c r="BD991" s="254"/>
      <c r="BE991" s="254"/>
    </row>
    <row r="992" s="97" customFormat="1" customHeight="1" spans="1:57">
      <c r="A992" s="339" t="s">
        <v>8188</v>
      </c>
      <c r="B992" s="111" t="s">
        <v>8189</v>
      </c>
      <c r="C992" s="554" t="s">
        <v>8190</v>
      </c>
      <c r="D992" s="113" t="s">
        <v>8191</v>
      </c>
      <c r="E992" s="113" t="s">
        <v>8192</v>
      </c>
      <c r="F992" s="267">
        <v>4</v>
      </c>
      <c r="G992" s="268">
        <v>4315</v>
      </c>
      <c r="H992" s="274">
        <v>67.7</v>
      </c>
      <c r="I992" s="274" t="s">
        <v>2657</v>
      </c>
      <c r="J992" s="113" t="s">
        <v>8193</v>
      </c>
      <c r="K992" s="116">
        <v>59.06</v>
      </c>
      <c r="L992" s="266" t="s">
        <v>4356</v>
      </c>
      <c r="M992" s="266" t="s">
        <v>4356</v>
      </c>
      <c r="N992" s="113" t="s">
        <v>56</v>
      </c>
      <c r="O992" s="113"/>
      <c r="P992" s="113"/>
      <c r="Q992" s="113">
        <v>24921.06</v>
      </c>
      <c r="R992" s="113">
        <v>1471838</v>
      </c>
      <c r="S992" s="121">
        <v>1471838</v>
      </c>
      <c r="T992" s="292">
        <f t="shared" si="316"/>
        <v>0</v>
      </c>
      <c r="U992" s="113"/>
      <c r="V992" s="113"/>
      <c r="W992" s="113"/>
      <c r="X992" s="113"/>
      <c r="Y992" s="113"/>
      <c r="Z992" s="113"/>
      <c r="AA992" s="113"/>
      <c r="AB992" s="113" t="s">
        <v>8194</v>
      </c>
      <c r="AC992" s="321"/>
      <c r="AD992" s="115"/>
      <c r="AE992" s="115"/>
      <c r="AF992" s="115"/>
      <c r="AG992" s="115"/>
      <c r="AH992" s="115"/>
      <c r="AI992" s="132">
        <f t="shared" ref="AI992:AI1005" si="317">S992+U992+V992+W992+X992+AC992+AD992+AE992</f>
        <v>1471838</v>
      </c>
      <c r="AJ992" s="132">
        <f t="shared" ref="AJ992:AJ1005" si="318">S992+U992+V992+W992+X992</f>
        <v>1471838</v>
      </c>
      <c r="AK992" s="133">
        <f t="shared" ref="AK992:AK1005" si="319">AI992-AJ992</f>
        <v>0</v>
      </c>
      <c r="AL992" s="155"/>
      <c r="AM992" s="115" t="s">
        <v>974</v>
      </c>
      <c r="AN992" s="246">
        <v>44886</v>
      </c>
      <c r="AO992" s="137"/>
      <c r="AP992" s="254"/>
      <c r="AQ992" s="254"/>
      <c r="AR992" s="254"/>
      <c r="AS992" s="254"/>
      <c r="AT992" s="254"/>
      <c r="AU992" s="254"/>
      <c r="AV992" s="254"/>
      <c r="AW992" s="254"/>
      <c r="AX992" s="254"/>
      <c r="AY992" s="254"/>
      <c r="AZ992" s="254"/>
      <c r="BA992" s="254"/>
      <c r="BB992" s="254"/>
      <c r="BC992" s="254"/>
      <c r="BD992" s="254"/>
      <c r="BE992" s="254"/>
    </row>
    <row r="993" s="254" customFormat="1" customHeight="1" spans="1:41">
      <c r="A993" s="339" t="s">
        <v>8195</v>
      </c>
      <c r="B993" s="111" t="s">
        <v>8196</v>
      </c>
      <c r="C993" s="554" t="s">
        <v>8197</v>
      </c>
      <c r="D993" s="113" t="s">
        <v>8198</v>
      </c>
      <c r="E993" s="113">
        <v>15038139799</v>
      </c>
      <c r="F993" s="267">
        <v>2</v>
      </c>
      <c r="G993" s="268">
        <v>296</v>
      </c>
      <c r="H993" s="274">
        <v>21.61</v>
      </c>
      <c r="I993" s="274" t="s">
        <v>2665</v>
      </c>
      <c r="J993" s="113" t="s">
        <v>8199</v>
      </c>
      <c r="K993" s="113">
        <v>27.55</v>
      </c>
      <c r="L993" s="266" t="s">
        <v>7886</v>
      </c>
      <c r="M993" s="266" t="s">
        <v>4005</v>
      </c>
      <c r="N993" s="113" t="s">
        <v>66</v>
      </c>
      <c r="O993" s="113"/>
      <c r="P993" s="113"/>
      <c r="Q993" s="113">
        <v>32402.11</v>
      </c>
      <c r="R993" s="113">
        <v>892678</v>
      </c>
      <c r="S993" s="121">
        <v>452678</v>
      </c>
      <c r="T993" s="292">
        <f t="shared" si="316"/>
        <v>440000</v>
      </c>
      <c r="U993" s="113"/>
      <c r="V993" s="113"/>
      <c r="W993" s="113"/>
      <c r="X993" s="113"/>
      <c r="Y993" s="113"/>
      <c r="Z993" s="113"/>
      <c r="AA993" s="113"/>
      <c r="AB993" s="113"/>
      <c r="AC993" s="321"/>
      <c r="AD993" s="115"/>
      <c r="AE993" s="115"/>
      <c r="AF993" s="115"/>
      <c r="AG993" s="115"/>
      <c r="AH993" s="115"/>
      <c r="AI993" s="132">
        <f t="shared" si="317"/>
        <v>452678</v>
      </c>
      <c r="AJ993" s="132">
        <f t="shared" si="318"/>
        <v>452678</v>
      </c>
      <c r="AK993" s="133">
        <f t="shared" si="319"/>
        <v>0</v>
      </c>
      <c r="AL993" s="155"/>
      <c r="AM993" s="115" t="s">
        <v>974</v>
      </c>
      <c r="AN993" s="246">
        <v>44886</v>
      </c>
      <c r="AO993" s="137"/>
    </row>
    <row r="994" s="254" customFormat="1" customHeight="1" spans="1:41">
      <c r="A994" s="339" t="s">
        <v>8200</v>
      </c>
      <c r="B994" s="111" t="s">
        <v>8201</v>
      </c>
      <c r="C994" s="554" t="s">
        <v>8202</v>
      </c>
      <c r="D994" s="113" t="s">
        <v>8203</v>
      </c>
      <c r="E994" s="113">
        <v>13017666895</v>
      </c>
      <c r="F994" s="267">
        <v>1</v>
      </c>
      <c r="G994" s="268">
        <v>1214</v>
      </c>
      <c r="H994" s="274">
        <v>15.32</v>
      </c>
      <c r="I994" s="274" t="s">
        <v>2657</v>
      </c>
      <c r="J994" s="113" t="s">
        <v>8204</v>
      </c>
      <c r="K994" s="113">
        <v>14.93</v>
      </c>
      <c r="L994" s="266" t="s">
        <v>3060</v>
      </c>
      <c r="M994" s="266" t="s">
        <v>5374</v>
      </c>
      <c r="N994" s="113" t="s">
        <v>56</v>
      </c>
      <c r="O994" s="113"/>
      <c r="P994" s="113"/>
      <c r="Q994" s="113">
        <v>46284.26</v>
      </c>
      <c r="R994" s="113">
        <v>709075</v>
      </c>
      <c r="S994" s="121">
        <v>709075</v>
      </c>
      <c r="T994" s="292">
        <f t="shared" si="316"/>
        <v>0</v>
      </c>
      <c r="U994" s="113"/>
      <c r="V994" s="113">
        <v>995</v>
      </c>
      <c r="W994" s="113">
        <v>550</v>
      </c>
      <c r="X994" s="113"/>
      <c r="Y994" s="113" t="s">
        <v>2669</v>
      </c>
      <c r="Z994" s="113" t="s">
        <v>48</v>
      </c>
      <c r="AA994" s="113">
        <v>44060</v>
      </c>
      <c r="AB994" s="113"/>
      <c r="AC994" s="321"/>
      <c r="AD994" s="115"/>
      <c r="AE994" s="115"/>
      <c r="AF994" s="115"/>
      <c r="AG994" s="115"/>
      <c r="AH994" s="115"/>
      <c r="AI994" s="132">
        <f t="shared" si="317"/>
        <v>710620</v>
      </c>
      <c r="AJ994" s="132">
        <f t="shared" si="318"/>
        <v>710620</v>
      </c>
      <c r="AK994" s="133">
        <f t="shared" si="319"/>
        <v>0</v>
      </c>
      <c r="AL994" s="155"/>
      <c r="AM994" s="115" t="s">
        <v>974</v>
      </c>
      <c r="AN994" s="246">
        <v>44886</v>
      </c>
      <c r="AO994" s="137"/>
    </row>
    <row r="995" s="254" customFormat="1" customHeight="1" spans="1:41">
      <c r="A995" s="339" t="s">
        <v>8205</v>
      </c>
      <c r="B995" s="111" t="s">
        <v>8206</v>
      </c>
      <c r="C995" s="554" t="s">
        <v>8207</v>
      </c>
      <c r="D995" s="113" t="s">
        <v>8208</v>
      </c>
      <c r="E995" s="113">
        <v>13838900900</v>
      </c>
      <c r="F995" s="267">
        <v>1</v>
      </c>
      <c r="G995" s="268">
        <v>1569</v>
      </c>
      <c r="H995" s="274">
        <v>22.42</v>
      </c>
      <c r="I995" s="274" t="s">
        <v>2657</v>
      </c>
      <c r="J995" s="113" t="s">
        <v>8209</v>
      </c>
      <c r="K995" s="113">
        <v>21.83</v>
      </c>
      <c r="L995" s="266" t="s">
        <v>2920</v>
      </c>
      <c r="M995" s="266" t="s">
        <v>2883</v>
      </c>
      <c r="N995" s="113" t="s">
        <v>66</v>
      </c>
      <c r="O995" s="113"/>
      <c r="P995" s="113"/>
      <c r="Q995" s="113">
        <v>45808.52</v>
      </c>
      <c r="R995" s="113">
        <v>1027027</v>
      </c>
      <c r="S995" s="121">
        <v>517027</v>
      </c>
      <c r="T995" s="292">
        <f t="shared" si="316"/>
        <v>510000</v>
      </c>
      <c r="U995" s="113"/>
      <c r="V995" s="113">
        <v>1457</v>
      </c>
      <c r="W995" s="113">
        <v>550</v>
      </c>
      <c r="X995" s="113"/>
      <c r="Y995" s="113" t="s">
        <v>2669</v>
      </c>
      <c r="Z995" s="113" t="s">
        <v>48</v>
      </c>
      <c r="AA995" s="113">
        <v>44090</v>
      </c>
      <c r="AB995" s="113"/>
      <c r="AC995" s="321"/>
      <c r="AD995" s="115"/>
      <c r="AE995" s="115"/>
      <c r="AF995" s="115"/>
      <c r="AG995" s="115"/>
      <c r="AH995" s="115"/>
      <c r="AI995" s="132">
        <f t="shared" si="317"/>
        <v>519034</v>
      </c>
      <c r="AJ995" s="132">
        <f t="shared" si="318"/>
        <v>519034</v>
      </c>
      <c r="AK995" s="133">
        <f t="shared" si="319"/>
        <v>0</v>
      </c>
      <c r="AL995" s="155"/>
      <c r="AM995" s="115" t="s">
        <v>974</v>
      </c>
      <c r="AN995" s="246">
        <v>44886</v>
      </c>
      <c r="AO995" s="137"/>
    </row>
    <row r="996" s="254" customFormat="1" customHeight="1" spans="1:57">
      <c r="A996" s="339" t="s">
        <v>8210</v>
      </c>
      <c r="B996" s="111" t="s">
        <v>8211</v>
      </c>
      <c r="C996" s="554" t="s">
        <v>8212</v>
      </c>
      <c r="D996" s="113" t="s">
        <v>8213</v>
      </c>
      <c r="E996" s="113">
        <v>13837130098</v>
      </c>
      <c r="F996" s="267">
        <v>4</v>
      </c>
      <c r="G996" s="268">
        <v>4523</v>
      </c>
      <c r="H996" s="274">
        <v>15.7</v>
      </c>
      <c r="I996" s="274" t="s">
        <v>2657</v>
      </c>
      <c r="J996" s="113" t="s">
        <v>8214</v>
      </c>
      <c r="K996" s="113">
        <v>10.69</v>
      </c>
      <c r="L996" s="266" t="s">
        <v>2705</v>
      </c>
      <c r="M996" s="266" t="s">
        <v>2746</v>
      </c>
      <c r="N996" s="113" t="s">
        <v>66</v>
      </c>
      <c r="O996" s="113"/>
      <c r="P996" s="113"/>
      <c r="Q996" s="113">
        <v>26563.52</v>
      </c>
      <c r="R996" s="113">
        <v>283964</v>
      </c>
      <c r="S996" s="121">
        <v>143964</v>
      </c>
      <c r="T996" s="292">
        <f t="shared" si="316"/>
        <v>140000</v>
      </c>
      <c r="U996" s="113"/>
      <c r="V996" s="113"/>
      <c r="W996" s="113"/>
      <c r="X996" s="113"/>
      <c r="Y996" s="113"/>
      <c r="Z996" s="113"/>
      <c r="AA996" s="113"/>
      <c r="AB996" s="113"/>
      <c r="AC996" s="321"/>
      <c r="AD996" s="115"/>
      <c r="AE996" s="115"/>
      <c r="AF996" s="115"/>
      <c r="AG996" s="115"/>
      <c r="AH996" s="115"/>
      <c r="AI996" s="132">
        <f t="shared" si="317"/>
        <v>143964</v>
      </c>
      <c r="AJ996" s="132">
        <f t="shared" si="318"/>
        <v>143964</v>
      </c>
      <c r="AK996" s="133">
        <f t="shared" si="319"/>
        <v>0</v>
      </c>
      <c r="AL996" s="155"/>
      <c r="AM996" s="115" t="s">
        <v>974</v>
      </c>
      <c r="AN996" s="246">
        <v>44886</v>
      </c>
      <c r="AO996" s="137"/>
      <c r="AP996" s="97"/>
      <c r="AQ996" s="97"/>
      <c r="AR996" s="97"/>
      <c r="AS996" s="97"/>
      <c r="AT996" s="97"/>
      <c r="AU996" s="97"/>
      <c r="AV996" s="97"/>
      <c r="AW996" s="97"/>
      <c r="AX996" s="97"/>
      <c r="AY996" s="97"/>
      <c r="AZ996" s="97"/>
      <c r="BA996" s="97"/>
      <c r="BB996" s="97"/>
      <c r="BC996" s="97"/>
      <c r="BD996" s="97"/>
      <c r="BE996" s="97"/>
    </row>
    <row r="997" s="97" customFormat="1" customHeight="1" spans="1:41">
      <c r="A997" s="339" t="s">
        <v>8215</v>
      </c>
      <c r="B997" s="111" t="s">
        <v>8216</v>
      </c>
      <c r="C997" s="554" t="s">
        <v>8217</v>
      </c>
      <c r="D997" s="113" t="s">
        <v>8218</v>
      </c>
      <c r="E997" s="113">
        <v>13938264911</v>
      </c>
      <c r="F997" s="267">
        <v>1</v>
      </c>
      <c r="G997" s="268">
        <v>1125</v>
      </c>
      <c r="H997" s="274">
        <v>44.99</v>
      </c>
      <c r="I997" s="274" t="s">
        <v>2665</v>
      </c>
      <c r="J997" s="113" t="s">
        <v>8219</v>
      </c>
      <c r="K997" s="113">
        <v>47.63</v>
      </c>
      <c r="L997" s="266" t="s">
        <v>2793</v>
      </c>
      <c r="M997" s="266" t="s">
        <v>2684</v>
      </c>
      <c r="N997" s="113" t="s">
        <v>66</v>
      </c>
      <c r="O997" s="113"/>
      <c r="P997" s="113"/>
      <c r="Q997" s="113">
        <v>47029.1832878438</v>
      </c>
      <c r="R997" s="113">
        <v>2240000</v>
      </c>
      <c r="S997" s="121">
        <v>1350000</v>
      </c>
      <c r="T997" s="292">
        <f t="shared" si="316"/>
        <v>890000</v>
      </c>
      <c r="U997" s="113"/>
      <c r="V997" s="113"/>
      <c r="W997" s="113"/>
      <c r="X997" s="113"/>
      <c r="Y997" s="113"/>
      <c r="Z997" s="113"/>
      <c r="AA997" s="113"/>
      <c r="AB997" s="113"/>
      <c r="AC997" s="321"/>
      <c r="AD997" s="115"/>
      <c r="AE997" s="115"/>
      <c r="AF997" s="115"/>
      <c r="AG997" s="115"/>
      <c r="AH997" s="115"/>
      <c r="AI997" s="132">
        <f t="shared" si="317"/>
        <v>1350000</v>
      </c>
      <c r="AJ997" s="132">
        <f t="shared" si="318"/>
        <v>1350000</v>
      </c>
      <c r="AK997" s="133">
        <f t="shared" si="319"/>
        <v>0</v>
      </c>
      <c r="AL997" s="155"/>
      <c r="AM997" s="115" t="s">
        <v>974</v>
      </c>
      <c r="AN997" s="246">
        <v>44886</v>
      </c>
      <c r="AO997" s="137"/>
    </row>
    <row r="998" s="97" customFormat="1" customHeight="1" spans="1:41">
      <c r="A998" s="339" t="s">
        <v>8220</v>
      </c>
      <c r="B998" s="111" t="s">
        <v>5936</v>
      </c>
      <c r="C998" s="554" t="s">
        <v>8221</v>
      </c>
      <c r="D998" s="113" t="s">
        <v>8222</v>
      </c>
      <c r="E998" s="113">
        <v>15838253777</v>
      </c>
      <c r="F998" s="267">
        <v>1</v>
      </c>
      <c r="G998" s="268">
        <v>164</v>
      </c>
      <c r="H998" s="274">
        <v>32.81</v>
      </c>
      <c r="I998" s="274" t="s">
        <v>2657</v>
      </c>
      <c r="J998" s="113" t="s">
        <v>8223</v>
      </c>
      <c r="K998" s="113">
        <v>30.3</v>
      </c>
      <c r="L998" s="266" t="s">
        <v>2848</v>
      </c>
      <c r="M998" s="266" t="s">
        <v>2685</v>
      </c>
      <c r="N998" s="113" t="s">
        <v>66</v>
      </c>
      <c r="O998" s="113"/>
      <c r="P998" s="113"/>
      <c r="Q998" s="113">
        <v>47276.6</v>
      </c>
      <c r="R998" s="113">
        <v>1551145</v>
      </c>
      <c r="S998" s="121">
        <v>951145</v>
      </c>
      <c r="T998" s="292">
        <f t="shared" si="316"/>
        <v>600000</v>
      </c>
      <c r="U998" s="113"/>
      <c r="V998" s="113">
        <v>2132</v>
      </c>
      <c r="W998" s="113">
        <v>550</v>
      </c>
      <c r="X998" s="113"/>
      <c r="Y998" s="113"/>
      <c r="Z998" s="113"/>
      <c r="AA998" s="113"/>
      <c r="AB998" s="113"/>
      <c r="AC998" s="321">
        <v>1280</v>
      </c>
      <c r="AD998" s="115"/>
      <c r="AE998" s="115"/>
      <c r="AF998" s="115"/>
      <c r="AG998" s="115"/>
      <c r="AH998" s="115"/>
      <c r="AI998" s="132">
        <f t="shared" si="317"/>
        <v>955107</v>
      </c>
      <c r="AJ998" s="132">
        <f t="shared" si="318"/>
        <v>953827</v>
      </c>
      <c r="AK998" s="133">
        <f t="shared" si="319"/>
        <v>1280</v>
      </c>
      <c r="AL998" s="155"/>
      <c r="AM998" s="115" t="s">
        <v>974</v>
      </c>
      <c r="AN998" s="246">
        <v>44886</v>
      </c>
      <c r="AO998" s="137"/>
    </row>
    <row r="999" s="97" customFormat="1" customHeight="1" spans="1:41">
      <c r="A999" s="339" t="s">
        <v>8224</v>
      </c>
      <c r="B999" s="111" t="s">
        <v>8225</v>
      </c>
      <c r="C999" s="554" t="s">
        <v>8226</v>
      </c>
      <c r="D999" s="113" t="s">
        <v>8227</v>
      </c>
      <c r="E999" s="113">
        <v>18595544831</v>
      </c>
      <c r="F999" s="267">
        <v>1</v>
      </c>
      <c r="G999" s="268">
        <v>1624</v>
      </c>
      <c r="H999" s="274">
        <v>15.75</v>
      </c>
      <c r="I999" s="274" t="s">
        <v>2657</v>
      </c>
      <c r="J999" s="113" t="s">
        <v>8228</v>
      </c>
      <c r="K999" s="113">
        <v>16.47</v>
      </c>
      <c r="L999" s="266" t="s">
        <v>2890</v>
      </c>
      <c r="M999" s="266" t="s">
        <v>2763</v>
      </c>
      <c r="N999" s="113" t="s">
        <v>66</v>
      </c>
      <c r="O999" s="113"/>
      <c r="P999" s="113"/>
      <c r="Q999" s="113">
        <v>47978.75</v>
      </c>
      <c r="R999" s="113">
        <v>755665</v>
      </c>
      <c r="S999" s="121">
        <v>405665</v>
      </c>
      <c r="T999" s="292" t="s">
        <v>47</v>
      </c>
      <c r="U999" s="113">
        <v>350000</v>
      </c>
      <c r="V999" s="113">
        <v>1023</v>
      </c>
      <c r="W999" s="113">
        <v>550</v>
      </c>
      <c r="X999" s="113"/>
      <c r="Y999" s="113" t="s">
        <v>2669</v>
      </c>
      <c r="Z999" s="113" t="s">
        <v>48</v>
      </c>
      <c r="AA999" s="113">
        <v>44022</v>
      </c>
      <c r="AB999" s="113"/>
      <c r="AC999" s="321"/>
      <c r="AD999" s="115"/>
      <c r="AE999" s="115"/>
      <c r="AF999" s="115"/>
      <c r="AG999" s="115"/>
      <c r="AH999" s="115"/>
      <c r="AI999" s="132">
        <f t="shared" si="317"/>
        <v>757238</v>
      </c>
      <c r="AJ999" s="132">
        <f t="shared" si="318"/>
        <v>757238</v>
      </c>
      <c r="AK999" s="133">
        <f t="shared" si="319"/>
        <v>0</v>
      </c>
      <c r="AL999" s="155"/>
      <c r="AM999" s="115" t="s">
        <v>974</v>
      </c>
      <c r="AN999" s="246">
        <v>44886</v>
      </c>
      <c r="AO999" s="137"/>
    </row>
    <row r="1000" s="254" customFormat="1" customHeight="1" spans="1:57">
      <c r="A1000" s="115" t="s">
        <v>8229</v>
      </c>
      <c r="B1000" s="111" t="s">
        <v>8230</v>
      </c>
      <c r="C1000" s="554" t="s">
        <v>8231</v>
      </c>
      <c r="D1000" s="113" t="s">
        <v>8232</v>
      </c>
      <c r="E1000" s="113">
        <v>13949003560</v>
      </c>
      <c r="F1000" s="267">
        <v>1</v>
      </c>
      <c r="G1000" s="268">
        <v>1544</v>
      </c>
      <c r="H1000" s="274">
        <v>25.31</v>
      </c>
      <c r="I1000" s="274" t="s">
        <v>2657</v>
      </c>
      <c r="J1000" s="113" t="s">
        <v>8233</v>
      </c>
      <c r="K1000" s="116">
        <v>24.63</v>
      </c>
      <c r="L1000" s="266" t="s">
        <v>3096</v>
      </c>
      <c r="M1000" s="266" t="s">
        <v>3739</v>
      </c>
      <c r="N1000" s="113" t="s">
        <v>66</v>
      </c>
      <c r="O1000" s="113"/>
      <c r="P1000" s="113"/>
      <c r="Q1000" s="113">
        <v>47267.24</v>
      </c>
      <c r="R1000" s="113">
        <v>1164192</v>
      </c>
      <c r="S1000" s="121">
        <v>584192</v>
      </c>
      <c r="T1000" s="292">
        <f t="shared" ref="T1000:T1010" si="320">R1000-S1000</f>
        <v>580000</v>
      </c>
      <c r="U1000" s="113"/>
      <c r="V1000" s="113"/>
      <c r="W1000" s="113"/>
      <c r="X1000" s="113"/>
      <c r="Y1000" s="113"/>
      <c r="Z1000" s="113"/>
      <c r="AA1000" s="113"/>
      <c r="AB1000" s="113"/>
      <c r="AC1000" s="113"/>
      <c r="AD1000" s="113"/>
      <c r="AE1000" s="133"/>
      <c r="AF1000" s="115"/>
      <c r="AG1000" s="133"/>
      <c r="AH1000" s="133"/>
      <c r="AI1000" s="132">
        <f t="shared" si="317"/>
        <v>584192</v>
      </c>
      <c r="AJ1000" s="132">
        <f t="shared" si="318"/>
        <v>584192</v>
      </c>
      <c r="AK1000" s="133">
        <f t="shared" si="319"/>
        <v>0</v>
      </c>
      <c r="AL1000" s="132"/>
      <c r="AM1000" s="133" t="s">
        <v>900</v>
      </c>
      <c r="AN1000" s="246">
        <v>44886</v>
      </c>
      <c r="AO1000" s="137"/>
      <c r="AP1000" s="97"/>
      <c r="AQ1000" s="97"/>
      <c r="AR1000" s="97"/>
      <c r="AS1000" s="97"/>
      <c r="AT1000" s="97"/>
      <c r="AU1000" s="97"/>
      <c r="AV1000" s="97"/>
      <c r="AW1000" s="97"/>
      <c r="AX1000" s="97"/>
      <c r="AY1000" s="97"/>
      <c r="AZ1000" s="97"/>
      <c r="BA1000" s="97"/>
      <c r="BB1000" s="97"/>
      <c r="BC1000" s="97"/>
      <c r="BD1000" s="97"/>
      <c r="BE1000" s="97"/>
    </row>
    <row r="1001" s="254" customFormat="1" customHeight="1" spans="1:57">
      <c r="A1001" s="115" t="s">
        <v>8234</v>
      </c>
      <c r="B1001" s="111" t="s">
        <v>8230</v>
      </c>
      <c r="C1001" s="554" t="s">
        <v>8231</v>
      </c>
      <c r="D1001" s="113" t="s">
        <v>8232</v>
      </c>
      <c r="E1001" s="113">
        <v>13949003560</v>
      </c>
      <c r="F1001" s="267">
        <v>1</v>
      </c>
      <c r="G1001" s="268">
        <v>1545</v>
      </c>
      <c r="H1001" s="274">
        <v>25.31</v>
      </c>
      <c r="I1001" s="274" t="s">
        <v>2657</v>
      </c>
      <c r="J1001" s="113" t="s">
        <v>8235</v>
      </c>
      <c r="K1001" s="116">
        <v>26.69</v>
      </c>
      <c r="L1001" s="266" t="s">
        <v>3096</v>
      </c>
      <c r="M1001" s="266" t="s">
        <v>3739</v>
      </c>
      <c r="N1001" s="113" t="s">
        <v>66</v>
      </c>
      <c r="O1001" s="113"/>
      <c r="P1001" s="113"/>
      <c r="Q1001" s="113">
        <v>47267.25</v>
      </c>
      <c r="R1001" s="113">
        <v>1261563</v>
      </c>
      <c r="S1001" s="121">
        <v>631563</v>
      </c>
      <c r="T1001" s="292">
        <f t="shared" si="320"/>
        <v>630000</v>
      </c>
      <c r="U1001" s="113"/>
      <c r="V1001" s="113"/>
      <c r="W1001" s="113"/>
      <c r="X1001" s="113"/>
      <c r="Y1001" s="113"/>
      <c r="Z1001" s="113"/>
      <c r="AA1001" s="113"/>
      <c r="AB1001" s="113"/>
      <c r="AC1001" s="113"/>
      <c r="AD1001" s="113"/>
      <c r="AE1001" s="133"/>
      <c r="AF1001" s="115"/>
      <c r="AG1001" s="133"/>
      <c r="AH1001" s="133"/>
      <c r="AI1001" s="132">
        <f t="shared" si="317"/>
        <v>631563</v>
      </c>
      <c r="AJ1001" s="132">
        <f t="shared" si="318"/>
        <v>631563</v>
      </c>
      <c r="AK1001" s="133">
        <f t="shared" si="319"/>
        <v>0</v>
      </c>
      <c r="AL1001" s="132"/>
      <c r="AM1001" s="133" t="s">
        <v>900</v>
      </c>
      <c r="AN1001" s="246">
        <v>44886</v>
      </c>
      <c r="AO1001" s="137"/>
      <c r="AP1001" s="97"/>
      <c r="AQ1001" s="97"/>
      <c r="AR1001" s="97"/>
      <c r="AS1001" s="97"/>
      <c r="AT1001" s="97"/>
      <c r="AU1001" s="97"/>
      <c r="AV1001" s="97"/>
      <c r="AW1001" s="97"/>
      <c r="AX1001" s="97"/>
      <c r="AY1001" s="97"/>
      <c r="AZ1001" s="97"/>
      <c r="BA1001" s="97"/>
      <c r="BB1001" s="97"/>
      <c r="BC1001" s="97"/>
      <c r="BD1001" s="97"/>
      <c r="BE1001" s="97"/>
    </row>
    <row r="1002" s="97" customFormat="1" customHeight="1" spans="1:41">
      <c r="A1002" s="115" t="s">
        <v>8236</v>
      </c>
      <c r="B1002" s="343" t="s">
        <v>8237</v>
      </c>
      <c r="C1002" s="556" t="s">
        <v>8238</v>
      </c>
      <c r="D1002" s="267" t="s">
        <v>8239</v>
      </c>
      <c r="E1002" s="267">
        <v>13937088515</v>
      </c>
      <c r="F1002" s="267">
        <v>1</v>
      </c>
      <c r="G1002" s="268">
        <v>1323</v>
      </c>
      <c r="H1002" s="274">
        <v>16.93</v>
      </c>
      <c r="I1002" s="274" t="s">
        <v>2657</v>
      </c>
      <c r="J1002" s="267" t="s">
        <v>8240</v>
      </c>
      <c r="K1002" s="267">
        <v>17.86</v>
      </c>
      <c r="L1002" s="268" t="s">
        <v>8241</v>
      </c>
      <c r="M1002" s="268" t="s">
        <v>4607</v>
      </c>
      <c r="N1002" s="267" t="s">
        <v>56</v>
      </c>
      <c r="O1002" s="267"/>
      <c r="P1002" s="267"/>
      <c r="Q1002" s="267">
        <v>46703.75</v>
      </c>
      <c r="R1002" s="267">
        <v>790694</v>
      </c>
      <c r="S1002" s="292">
        <v>790694</v>
      </c>
      <c r="T1002" s="292">
        <f t="shared" si="320"/>
        <v>0</v>
      </c>
      <c r="U1002" s="267"/>
      <c r="V1002" s="267">
        <v>1100</v>
      </c>
      <c r="W1002" s="267">
        <v>550</v>
      </c>
      <c r="X1002" s="267">
        <v>41785</v>
      </c>
      <c r="Y1002" s="267" t="s">
        <v>2669</v>
      </c>
      <c r="Z1002" s="267"/>
      <c r="AA1002" s="267"/>
      <c r="AB1002" s="267"/>
      <c r="AC1002" s="113"/>
      <c r="AD1002" s="113"/>
      <c r="AE1002" s="133"/>
      <c r="AF1002" s="115"/>
      <c r="AG1002" s="133"/>
      <c r="AH1002" s="133"/>
      <c r="AI1002" s="132">
        <f t="shared" si="317"/>
        <v>834129</v>
      </c>
      <c r="AJ1002" s="132">
        <f t="shared" si="318"/>
        <v>834129</v>
      </c>
      <c r="AK1002" s="133">
        <f t="shared" si="319"/>
        <v>0</v>
      </c>
      <c r="AL1002" s="132"/>
      <c r="AM1002" s="133" t="s">
        <v>900</v>
      </c>
      <c r="AN1002" s="246">
        <v>44886</v>
      </c>
      <c r="AO1002" s="137"/>
    </row>
    <row r="1003" s="254" customFormat="1" customHeight="1" spans="1:57">
      <c r="A1003" s="115" t="s">
        <v>8242</v>
      </c>
      <c r="B1003" s="296" t="s">
        <v>8243</v>
      </c>
      <c r="C1003" s="296" t="s">
        <v>8244</v>
      </c>
      <c r="D1003" s="267" t="s">
        <v>8245</v>
      </c>
      <c r="E1003" s="267">
        <v>13526573593</v>
      </c>
      <c r="F1003" s="267">
        <v>3</v>
      </c>
      <c r="G1003" s="268">
        <v>338</v>
      </c>
      <c r="H1003" s="274">
        <v>21.84</v>
      </c>
      <c r="I1003" s="274" t="s">
        <v>2665</v>
      </c>
      <c r="J1003" s="267" t="s">
        <v>8246</v>
      </c>
      <c r="K1003" s="326">
        <v>24.75</v>
      </c>
      <c r="L1003" s="268" t="s">
        <v>2799</v>
      </c>
      <c r="M1003" s="268" t="s">
        <v>2799</v>
      </c>
      <c r="N1003" s="267" t="s">
        <v>56</v>
      </c>
      <c r="O1003" s="267"/>
      <c r="P1003" s="267"/>
      <c r="Q1003" s="274">
        <v>22186.7878787879</v>
      </c>
      <c r="R1003" s="267">
        <v>549123</v>
      </c>
      <c r="S1003" s="292">
        <v>549123</v>
      </c>
      <c r="T1003" s="292">
        <f t="shared" si="320"/>
        <v>0</v>
      </c>
      <c r="U1003" s="267"/>
      <c r="V1003" s="267"/>
      <c r="W1003" s="267"/>
      <c r="X1003" s="267"/>
      <c r="Y1003" s="267"/>
      <c r="Z1003" s="267"/>
      <c r="AA1003" s="267"/>
      <c r="AB1003" s="267"/>
      <c r="AC1003" s="113"/>
      <c r="AD1003" s="113"/>
      <c r="AE1003" s="133"/>
      <c r="AF1003" s="115"/>
      <c r="AG1003" s="133"/>
      <c r="AH1003" s="133"/>
      <c r="AI1003" s="132">
        <f t="shared" si="317"/>
        <v>549123</v>
      </c>
      <c r="AJ1003" s="132">
        <f t="shared" si="318"/>
        <v>549123</v>
      </c>
      <c r="AK1003" s="133">
        <f t="shared" si="319"/>
        <v>0</v>
      </c>
      <c r="AL1003" s="132"/>
      <c r="AM1003" s="133" t="s">
        <v>900</v>
      </c>
      <c r="AN1003" s="246">
        <v>44886</v>
      </c>
      <c r="AO1003" s="137"/>
      <c r="AP1003" s="97"/>
      <c r="AQ1003" s="97"/>
      <c r="AR1003" s="97"/>
      <c r="AS1003" s="97"/>
      <c r="AT1003" s="97"/>
      <c r="AU1003" s="97"/>
      <c r="AV1003" s="97"/>
      <c r="AW1003" s="97"/>
      <c r="AX1003" s="97"/>
      <c r="AY1003" s="97"/>
      <c r="AZ1003" s="97"/>
      <c r="BA1003" s="97"/>
      <c r="BB1003" s="97"/>
      <c r="BC1003" s="97"/>
      <c r="BD1003" s="97"/>
      <c r="BE1003" s="97"/>
    </row>
    <row r="1004" s="97" customFormat="1" customHeight="1" spans="1:41">
      <c r="A1004" s="115" t="s">
        <v>8247</v>
      </c>
      <c r="B1004" s="111" t="s">
        <v>8248</v>
      </c>
      <c r="C1004" s="554" t="s">
        <v>8249</v>
      </c>
      <c r="D1004" s="113" t="s">
        <v>8250</v>
      </c>
      <c r="E1004" s="113">
        <v>15937312798</v>
      </c>
      <c r="F1004" s="267">
        <v>1</v>
      </c>
      <c r="G1004" s="268">
        <v>148</v>
      </c>
      <c r="H1004" s="274">
        <v>21.59</v>
      </c>
      <c r="I1004" s="274" t="s">
        <v>2657</v>
      </c>
      <c r="J1004" s="113" t="s">
        <v>8251</v>
      </c>
      <c r="K1004" s="116">
        <v>20.38</v>
      </c>
      <c r="L1004" s="266" t="s">
        <v>3096</v>
      </c>
      <c r="M1004" s="266" t="s">
        <v>3001</v>
      </c>
      <c r="N1004" s="113" t="s">
        <v>56</v>
      </c>
      <c r="O1004" s="113"/>
      <c r="P1004" s="113"/>
      <c r="Q1004" s="113">
        <v>45160.84</v>
      </c>
      <c r="R1004" s="113">
        <v>920378</v>
      </c>
      <c r="S1004" s="121">
        <v>920378</v>
      </c>
      <c r="T1004" s="292">
        <f t="shared" si="320"/>
        <v>0</v>
      </c>
      <c r="U1004" s="113"/>
      <c r="V1004" s="113"/>
      <c r="W1004" s="113"/>
      <c r="X1004" s="113"/>
      <c r="Y1004" s="113"/>
      <c r="Z1004" s="113"/>
      <c r="AA1004" s="113"/>
      <c r="AB1004" s="113"/>
      <c r="AC1004" s="113"/>
      <c r="AD1004" s="113"/>
      <c r="AE1004" s="133"/>
      <c r="AF1004" s="115"/>
      <c r="AG1004" s="133"/>
      <c r="AH1004" s="133"/>
      <c r="AI1004" s="132">
        <f t="shared" si="317"/>
        <v>920378</v>
      </c>
      <c r="AJ1004" s="132">
        <f t="shared" si="318"/>
        <v>920378</v>
      </c>
      <c r="AK1004" s="133">
        <f t="shared" si="319"/>
        <v>0</v>
      </c>
      <c r="AL1004" s="132"/>
      <c r="AM1004" s="133" t="s">
        <v>900</v>
      </c>
      <c r="AN1004" s="246">
        <v>44886</v>
      </c>
      <c r="AO1004" s="137"/>
    </row>
    <row r="1005" s="97" customFormat="1" customHeight="1" spans="1:41">
      <c r="A1005" s="115" t="s">
        <v>8252</v>
      </c>
      <c r="B1005" s="111" t="s">
        <v>8253</v>
      </c>
      <c r="C1005" s="554" t="s">
        <v>8254</v>
      </c>
      <c r="D1005" s="113" t="s">
        <v>8255</v>
      </c>
      <c r="E1005" s="113">
        <v>15225123961</v>
      </c>
      <c r="F1005" s="267">
        <v>1</v>
      </c>
      <c r="G1005" s="268">
        <v>1524</v>
      </c>
      <c r="H1005" s="274">
        <v>15.4</v>
      </c>
      <c r="I1005" s="274" t="s">
        <v>2657</v>
      </c>
      <c r="J1005" s="113" t="s">
        <v>8256</v>
      </c>
      <c r="K1005" s="116">
        <v>14.47</v>
      </c>
      <c r="L1005" s="266" t="s">
        <v>3514</v>
      </c>
      <c r="M1005" s="266" t="s">
        <v>3016</v>
      </c>
      <c r="N1005" s="113" t="s">
        <v>66</v>
      </c>
      <c r="O1005" s="113"/>
      <c r="P1005" s="113"/>
      <c r="Q1005" s="113">
        <v>48446.79</v>
      </c>
      <c r="R1005" s="113">
        <v>701025</v>
      </c>
      <c r="S1005" s="121">
        <v>351025</v>
      </c>
      <c r="T1005" s="292">
        <f t="shared" si="320"/>
        <v>350000</v>
      </c>
      <c r="U1005" s="113"/>
      <c r="V1005" s="113"/>
      <c r="W1005" s="113"/>
      <c r="X1005" s="113"/>
      <c r="Y1005" s="113"/>
      <c r="Z1005" s="113"/>
      <c r="AA1005" s="113"/>
      <c r="AB1005" s="113"/>
      <c r="AC1005" s="113"/>
      <c r="AD1005" s="113"/>
      <c r="AE1005" s="133"/>
      <c r="AF1005" s="115"/>
      <c r="AG1005" s="133"/>
      <c r="AH1005" s="133"/>
      <c r="AI1005" s="132">
        <f t="shared" si="317"/>
        <v>351025</v>
      </c>
      <c r="AJ1005" s="132">
        <f t="shared" si="318"/>
        <v>351025</v>
      </c>
      <c r="AK1005" s="133">
        <f t="shared" si="319"/>
        <v>0</v>
      </c>
      <c r="AL1005" s="132"/>
      <c r="AM1005" s="133" t="s">
        <v>900</v>
      </c>
      <c r="AN1005" s="246">
        <v>44886</v>
      </c>
      <c r="AO1005" s="137"/>
    </row>
    <row r="1006" s="97" customFormat="1" customHeight="1" spans="1:41">
      <c r="A1006" s="115" t="s">
        <v>8257</v>
      </c>
      <c r="B1006" s="336" t="s">
        <v>8258</v>
      </c>
      <c r="C1006" s="554" t="s">
        <v>8259</v>
      </c>
      <c r="D1006" s="113" t="s">
        <v>8260</v>
      </c>
      <c r="E1006" s="113">
        <v>13643912410</v>
      </c>
      <c r="F1006" s="267">
        <v>1</v>
      </c>
      <c r="G1006" s="268">
        <v>1381</v>
      </c>
      <c r="H1006" s="274">
        <v>19.5</v>
      </c>
      <c r="I1006" s="274" t="s">
        <v>2657</v>
      </c>
      <c r="J1006" s="113" t="s">
        <v>8261</v>
      </c>
      <c r="K1006" s="113">
        <v>14.1</v>
      </c>
      <c r="L1006" s="266" t="s">
        <v>3558</v>
      </c>
      <c r="M1006" s="266" t="s">
        <v>4771</v>
      </c>
      <c r="N1006" s="113" t="s">
        <v>66</v>
      </c>
      <c r="O1006" s="113"/>
      <c r="P1006" s="113"/>
      <c r="Q1006" s="113">
        <v>48936.17</v>
      </c>
      <c r="R1006" s="113">
        <v>690000</v>
      </c>
      <c r="S1006" s="121">
        <v>350000</v>
      </c>
      <c r="T1006" s="292">
        <f t="shared" si="320"/>
        <v>340000</v>
      </c>
      <c r="U1006" s="113"/>
      <c r="V1006" s="113"/>
      <c r="W1006" s="113"/>
      <c r="X1006" s="113"/>
      <c r="Y1006" s="113"/>
      <c r="Z1006" s="113"/>
      <c r="AA1006" s="113"/>
      <c r="AB1006" s="113"/>
      <c r="AC1006" s="113"/>
      <c r="AD1006" s="113"/>
      <c r="AE1006" s="133"/>
      <c r="AF1006" s="115"/>
      <c r="AG1006" s="133"/>
      <c r="AH1006" s="133"/>
      <c r="AI1006" s="132">
        <f t="shared" ref="AI1006:AI1018" si="321">S1006+U1006+V1006+W1006+X1006+AC1006+AD1006+AE1006</f>
        <v>350000</v>
      </c>
      <c r="AJ1006" s="132">
        <f t="shared" ref="AJ1006:AJ1017" si="322">S1006+U1006+V1006+W1006+X1006</f>
        <v>350000</v>
      </c>
      <c r="AK1006" s="133">
        <f t="shared" ref="AK1006:AK1028" si="323">AI1006-AJ1006</f>
        <v>0</v>
      </c>
      <c r="AL1006" s="132"/>
      <c r="AM1006" s="133" t="s">
        <v>900</v>
      </c>
      <c r="AN1006" s="246">
        <v>44886</v>
      </c>
      <c r="AO1006" s="137"/>
    </row>
    <row r="1007" s="97" customFormat="1" customHeight="1" spans="1:41">
      <c r="A1007" s="115" t="s">
        <v>8262</v>
      </c>
      <c r="B1007" s="296" t="s">
        <v>8263</v>
      </c>
      <c r="C1007" s="556" t="s">
        <v>8264</v>
      </c>
      <c r="D1007" s="267" t="s">
        <v>8265</v>
      </c>
      <c r="E1007" s="267">
        <v>15136901019</v>
      </c>
      <c r="F1007" s="267">
        <v>1</v>
      </c>
      <c r="G1007" s="268">
        <v>1146</v>
      </c>
      <c r="H1007" s="274">
        <v>28.5</v>
      </c>
      <c r="I1007" s="274" t="s">
        <v>2665</v>
      </c>
      <c r="J1007" s="267" t="s">
        <v>8266</v>
      </c>
      <c r="K1007" s="274">
        <v>26.4</v>
      </c>
      <c r="L1007" s="268" t="s">
        <v>8267</v>
      </c>
      <c r="M1007" s="268" t="s">
        <v>8267</v>
      </c>
      <c r="N1007" s="267" t="s">
        <v>66</v>
      </c>
      <c r="O1007" s="267"/>
      <c r="P1007" s="267"/>
      <c r="Q1007" s="274">
        <v>51536.0227272727</v>
      </c>
      <c r="R1007" s="267">
        <v>1360551</v>
      </c>
      <c r="S1007" s="292">
        <v>940551</v>
      </c>
      <c r="T1007" s="292">
        <f t="shared" si="320"/>
        <v>420000</v>
      </c>
      <c r="U1007" s="267"/>
      <c r="V1007" s="267"/>
      <c r="W1007" s="267"/>
      <c r="X1007" s="267"/>
      <c r="Y1007" s="267"/>
      <c r="Z1007" s="267"/>
      <c r="AA1007" s="267"/>
      <c r="AB1007" s="274" t="s">
        <v>5840</v>
      </c>
      <c r="AC1007" s="113"/>
      <c r="AD1007" s="113"/>
      <c r="AE1007" s="133"/>
      <c r="AF1007" s="115"/>
      <c r="AG1007" s="133"/>
      <c r="AH1007" s="133"/>
      <c r="AI1007" s="132">
        <f t="shared" si="321"/>
        <v>940551</v>
      </c>
      <c r="AJ1007" s="132">
        <f t="shared" si="322"/>
        <v>940551</v>
      </c>
      <c r="AK1007" s="133">
        <f t="shared" si="323"/>
        <v>0</v>
      </c>
      <c r="AL1007" s="132"/>
      <c r="AM1007" s="133" t="s">
        <v>900</v>
      </c>
      <c r="AN1007" s="246">
        <v>44886</v>
      </c>
      <c r="AO1007" s="137"/>
    </row>
    <row r="1008" s="97" customFormat="1" customHeight="1" spans="1:41">
      <c r="A1008" s="115" t="s">
        <v>8268</v>
      </c>
      <c r="B1008" s="296" t="s">
        <v>8269</v>
      </c>
      <c r="C1008" s="556" t="s">
        <v>8270</v>
      </c>
      <c r="D1008" s="267" t="s">
        <v>8271</v>
      </c>
      <c r="E1008" s="267">
        <v>18739903378</v>
      </c>
      <c r="F1008" s="267">
        <v>1</v>
      </c>
      <c r="G1008" s="268">
        <v>176</v>
      </c>
      <c r="H1008" s="274">
        <v>22.5</v>
      </c>
      <c r="I1008" s="274" t="s">
        <v>2665</v>
      </c>
      <c r="J1008" s="267" t="s">
        <v>8272</v>
      </c>
      <c r="K1008" s="274">
        <v>23.1</v>
      </c>
      <c r="L1008" s="268" t="s">
        <v>2711</v>
      </c>
      <c r="M1008" s="268" t="s">
        <v>3621</v>
      </c>
      <c r="N1008" s="267" t="s">
        <v>66</v>
      </c>
      <c r="O1008" s="267"/>
      <c r="P1008" s="267"/>
      <c r="Q1008" s="274">
        <v>41832.2077922078</v>
      </c>
      <c r="R1008" s="267">
        <v>941225</v>
      </c>
      <c r="S1008" s="292">
        <v>561225</v>
      </c>
      <c r="T1008" s="292">
        <f t="shared" si="320"/>
        <v>380000</v>
      </c>
      <c r="U1008" s="267"/>
      <c r="V1008" s="267">
        <v>1462</v>
      </c>
      <c r="W1008" s="267">
        <v>550</v>
      </c>
      <c r="X1008" s="267">
        <v>3087</v>
      </c>
      <c r="Y1008" s="267"/>
      <c r="Z1008" s="267"/>
      <c r="AA1008" s="267"/>
      <c r="AB1008" s="267"/>
      <c r="AC1008" s="113"/>
      <c r="AD1008" s="113"/>
      <c r="AE1008" s="133"/>
      <c r="AF1008" s="115"/>
      <c r="AG1008" s="133"/>
      <c r="AH1008" s="133"/>
      <c r="AI1008" s="132">
        <f t="shared" si="321"/>
        <v>566324</v>
      </c>
      <c r="AJ1008" s="132">
        <f t="shared" si="322"/>
        <v>566324</v>
      </c>
      <c r="AK1008" s="133">
        <f t="shared" si="323"/>
        <v>0</v>
      </c>
      <c r="AL1008" s="132"/>
      <c r="AM1008" s="133" t="s">
        <v>900</v>
      </c>
      <c r="AN1008" s="246">
        <v>44886</v>
      </c>
      <c r="AO1008" s="137"/>
    </row>
    <row r="1009" s="254" customFormat="1" customHeight="1" spans="1:41">
      <c r="A1009" s="115" t="s">
        <v>8273</v>
      </c>
      <c r="B1009" s="296" t="s">
        <v>8274</v>
      </c>
      <c r="C1009" s="296" t="s">
        <v>8275</v>
      </c>
      <c r="D1009" s="267" t="s">
        <v>8276</v>
      </c>
      <c r="E1009" s="267">
        <v>15803815237</v>
      </c>
      <c r="F1009" s="267">
        <v>3</v>
      </c>
      <c r="G1009" s="268">
        <v>3260</v>
      </c>
      <c r="H1009" s="274">
        <v>21.64</v>
      </c>
      <c r="I1009" s="274" t="s">
        <v>2657</v>
      </c>
      <c r="J1009" s="267" t="s">
        <v>8277</v>
      </c>
      <c r="K1009" s="274">
        <v>20.04</v>
      </c>
      <c r="L1009" s="268" t="s">
        <v>2961</v>
      </c>
      <c r="M1009" s="268" t="s">
        <v>3571</v>
      </c>
      <c r="N1009" s="267" t="s">
        <v>66</v>
      </c>
      <c r="O1009" s="267"/>
      <c r="P1009" s="267"/>
      <c r="Q1009" s="274">
        <v>30439.12</v>
      </c>
      <c r="R1009" s="267">
        <v>610000</v>
      </c>
      <c r="S1009" s="292">
        <v>310000</v>
      </c>
      <c r="T1009" s="292">
        <f t="shared" si="320"/>
        <v>300000</v>
      </c>
      <c r="U1009" s="267"/>
      <c r="V1009" s="267"/>
      <c r="W1009" s="267"/>
      <c r="X1009" s="267"/>
      <c r="Y1009" s="267"/>
      <c r="Z1009" s="267"/>
      <c r="AA1009" s="267"/>
      <c r="AB1009" s="274"/>
      <c r="AC1009" s="113"/>
      <c r="AD1009" s="113"/>
      <c r="AE1009" s="133"/>
      <c r="AF1009" s="115"/>
      <c r="AG1009" s="133"/>
      <c r="AH1009" s="133"/>
      <c r="AI1009" s="132">
        <f t="shared" si="321"/>
        <v>310000</v>
      </c>
      <c r="AJ1009" s="132">
        <f t="shared" si="322"/>
        <v>310000</v>
      </c>
      <c r="AK1009" s="133">
        <f t="shared" si="323"/>
        <v>0</v>
      </c>
      <c r="AL1009" s="132"/>
      <c r="AM1009" s="133" t="s">
        <v>900</v>
      </c>
      <c r="AN1009" s="246">
        <v>44886</v>
      </c>
      <c r="AO1009" s="137"/>
    </row>
    <row r="1010" s="254" customFormat="1" customHeight="1" spans="1:41">
      <c r="A1010" s="115" t="s">
        <v>8278</v>
      </c>
      <c r="B1010" s="296" t="s">
        <v>8279</v>
      </c>
      <c r="C1010" s="556" t="s">
        <v>8280</v>
      </c>
      <c r="D1010" s="267" t="s">
        <v>8281</v>
      </c>
      <c r="E1010" s="267">
        <v>13525393777</v>
      </c>
      <c r="F1010" s="267">
        <v>1</v>
      </c>
      <c r="G1010" s="268">
        <v>177</v>
      </c>
      <c r="H1010" s="274">
        <v>23.84</v>
      </c>
      <c r="I1010" s="274" t="s">
        <v>2657</v>
      </c>
      <c r="J1010" s="267" t="s">
        <v>8282</v>
      </c>
      <c r="K1010" s="274">
        <v>23.92</v>
      </c>
      <c r="L1010" s="268" t="s">
        <v>2762</v>
      </c>
      <c r="M1010" s="268" t="s">
        <v>8283</v>
      </c>
      <c r="N1010" s="267" t="s">
        <v>66</v>
      </c>
      <c r="O1010" s="267"/>
      <c r="P1010" s="267"/>
      <c r="Q1010" s="274">
        <v>47386.87</v>
      </c>
      <c r="R1010" s="267">
        <v>1129703</v>
      </c>
      <c r="S1010" s="292">
        <v>579703</v>
      </c>
      <c r="T1010" s="292">
        <f t="shared" si="320"/>
        <v>550000</v>
      </c>
      <c r="U1010" s="267"/>
      <c r="V1010" s="267">
        <v>1549</v>
      </c>
      <c r="W1010" s="267">
        <v>550</v>
      </c>
      <c r="X1010" s="267"/>
      <c r="Y1010" s="267"/>
      <c r="Z1010" s="267"/>
      <c r="AA1010" s="267"/>
      <c r="AB1010" s="274" t="s">
        <v>8284</v>
      </c>
      <c r="AC1010" s="113"/>
      <c r="AD1010" s="113"/>
      <c r="AE1010" s="133"/>
      <c r="AF1010" s="115"/>
      <c r="AG1010" s="133"/>
      <c r="AH1010" s="133"/>
      <c r="AI1010" s="132">
        <f t="shared" si="321"/>
        <v>581802</v>
      </c>
      <c r="AJ1010" s="132">
        <f t="shared" si="322"/>
        <v>581802</v>
      </c>
      <c r="AK1010" s="133">
        <f t="shared" si="323"/>
        <v>0</v>
      </c>
      <c r="AL1010" s="132"/>
      <c r="AM1010" s="133" t="s">
        <v>900</v>
      </c>
      <c r="AN1010" s="246">
        <v>44886</v>
      </c>
      <c r="AO1010" s="137"/>
    </row>
    <row r="1011" s="254" customFormat="1" customHeight="1" spans="1:41">
      <c r="A1011" s="115" t="s">
        <v>8285</v>
      </c>
      <c r="B1011" s="296" t="s">
        <v>8286</v>
      </c>
      <c r="C1011" s="556" t="s">
        <v>8287</v>
      </c>
      <c r="D1011" s="267" t="s">
        <v>8288</v>
      </c>
      <c r="E1011" s="267">
        <v>13613826791</v>
      </c>
      <c r="F1011" s="267">
        <v>1</v>
      </c>
      <c r="G1011" s="268">
        <v>1562</v>
      </c>
      <c r="H1011" s="274">
        <v>16.61</v>
      </c>
      <c r="I1011" s="274" t="s">
        <v>2657</v>
      </c>
      <c r="J1011" s="267" t="s">
        <v>8289</v>
      </c>
      <c r="K1011" s="274">
        <v>18.84</v>
      </c>
      <c r="L1011" s="268" t="s">
        <v>3858</v>
      </c>
      <c r="M1011" s="268" t="s">
        <v>3472</v>
      </c>
      <c r="N1011" s="267" t="s">
        <v>66</v>
      </c>
      <c r="O1011" s="267"/>
      <c r="P1011" s="267"/>
      <c r="Q1011" s="274">
        <v>48463.34</v>
      </c>
      <c r="R1011" s="267">
        <v>804976</v>
      </c>
      <c r="S1011" s="292">
        <v>464976</v>
      </c>
      <c r="T1011" s="292"/>
      <c r="U1011" s="267">
        <v>340000</v>
      </c>
      <c r="V1011" s="267">
        <v>1079</v>
      </c>
      <c r="W1011" s="267">
        <v>550</v>
      </c>
      <c r="X1011" s="267">
        <v>10</v>
      </c>
      <c r="Y1011" s="267" t="s">
        <v>2669</v>
      </c>
      <c r="Z1011" s="267" t="s">
        <v>48</v>
      </c>
      <c r="AA1011" s="267">
        <v>44024</v>
      </c>
      <c r="AB1011" s="274" t="s">
        <v>8290</v>
      </c>
      <c r="AC1011" s="113">
        <v>1254</v>
      </c>
      <c r="AD1011" s="113"/>
      <c r="AE1011" s="133"/>
      <c r="AF1011" s="115"/>
      <c r="AG1011" s="133"/>
      <c r="AH1011" s="133"/>
      <c r="AI1011" s="132">
        <f t="shared" si="321"/>
        <v>807869</v>
      </c>
      <c r="AJ1011" s="132">
        <f t="shared" si="322"/>
        <v>806615</v>
      </c>
      <c r="AK1011" s="133">
        <f t="shared" si="323"/>
        <v>1254</v>
      </c>
      <c r="AL1011" s="132"/>
      <c r="AM1011" s="133" t="s">
        <v>900</v>
      </c>
      <c r="AN1011" s="246">
        <v>44886</v>
      </c>
      <c r="AO1011" s="137"/>
    </row>
    <row r="1012" s="254" customFormat="1" customHeight="1" spans="1:41">
      <c r="A1012" s="115" t="s">
        <v>8291</v>
      </c>
      <c r="B1012" s="111" t="s">
        <v>8292</v>
      </c>
      <c r="C1012" s="111" t="s">
        <v>8293</v>
      </c>
      <c r="D1012" s="121" t="s">
        <v>8294</v>
      </c>
      <c r="E1012" s="113">
        <v>13700775957</v>
      </c>
      <c r="F1012" s="267">
        <v>3</v>
      </c>
      <c r="G1012" s="268">
        <v>3784</v>
      </c>
      <c r="H1012" s="274">
        <v>14.35</v>
      </c>
      <c r="I1012" s="274" t="s">
        <v>2657</v>
      </c>
      <c r="J1012" s="113" t="s">
        <v>8295</v>
      </c>
      <c r="K1012" s="113">
        <v>16.16</v>
      </c>
      <c r="L1012" s="266" t="s">
        <v>3686</v>
      </c>
      <c r="M1012" s="266" t="s">
        <v>3686</v>
      </c>
      <c r="N1012" s="113" t="s">
        <v>66</v>
      </c>
      <c r="O1012" s="113"/>
      <c r="P1012" s="113"/>
      <c r="Q1012" s="113">
        <v>32133.11</v>
      </c>
      <c r="R1012" s="113">
        <v>519271</v>
      </c>
      <c r="S1012" s="121">
        <v>269271</v>
      </c>
      <c r="T1012" s="292">
        <f>R1012-S1012</f>
        <v>250000</v>
      </c>
      <c r="U1012" s="113"/>
      <c r="V1012" s="113"/>
      <c r="W1012" s="113"/>
      <c r="X1012" s="113"/>
      <c r="Y1012" s="113"/>
      <c r="Z1012" s="113"/>
      <c r="AA1012" s="113"/>
      <c r="AB1012" s="113"/>
      <c r="AC1012" s="321"/>
      <c r="AD1012" s="115"/>
      <c r="AE1012" s="115"/>
      <c r="AF1012" s="115"/>
      <c r="AG1012" s="115"/>
      <c r="AH1012" s="115"/>
      <c r="AI1012" s="132">
        <f t="shared" si="321"/>
        <v>269271</v>
      </c>
      <c r="AJ1012" s="132">
        <f t="shared" si="322"/>
        <v>269271</v>
      </c>
      <c r="AK1012" s="133">
        <f t="shared" si="323"/>
        <v>0</v>
      </c>
      <c r="AL1012" s="115"/>
      <c r="AM1012" s="115" t="s">
        <v>974</v>
      </c>
      <c r="AN1012" s="246">
        <v>44866</v>
      </c>
      <c r="AO1012" s="137"/>
    </row>
    <row r="1013" s="254" customFormat="1" customHeight="1" spans="1:57">
      <c r="A1013" s="115" t="s">
        <v>8296</v>
      </c>
      <c r="B1013" s="111" t="s">
        <v>8297</v>
      </c>
      <c r="C1013" s="111" t="s">
        <v>8298</v>
      </c>
      <c r="D1013" s="121" t="s">
        <v>8299</v>
      </c>
      <c r="E1013" s="113">
        <v>13253688711</v>
      </c>
      <c r="F1013" s="267">
        <v>3</v>
      </c>
      <c r="G1013" s="268">
        <v>3809</v>
      </c>
      <c r="H1013" s="274">
        <v>19.42</v>
      </c>
      <c r="I1013" s="274" t="s">
        <v>2657</v>
      </c>
      <c r="J1013" s="113" t="s">
        <v>8300</v>
      </c>
      <c r="K1013" s="113">
        <v>17.4</v>
      </c>
      <c r="L1013" s="266" t="s">
        <v>2854</v>
      </c>
      <c r="M1013" s="266" t="s">
        <v>4288</v>
      </c>
      <c r="N1013" s="113" t="s">
        <v>66</v>
      </c>
      <c r="O1013" s="113"/>
      <c r="P1013" s="113"/>
      <c r="Q1013" s="113">
        <v>31965.86</v>
      </c>
      <c r="R1013" s="113">
        <v>556206</v>
      </c>
      <c r="S1013" s="121">
        <v>286206</v>
      </c>
      <c r="T1013" s="292">
        <f>R1013-S1013</f>
        <v>270000</v>
      </c>
      <c r="U1013" s="113"/>
      <c r="V1013" s="113"/>
      <c r="W1013" s="113"/>
      <c r="X1013" s="113"/>
      <c r="Y1013" s="113"/>
      <c r="Z1013" s="113"/>
      <c r="AA1013" s="113"/>
      <c r="AB1013" s="113"/>
      <c r="AC1013" s="321"/>
      <c r="AD1013" s="115"/>
      <c r="AE1013" s="115"/>
      <c r="AF1013" s="115"/>
      <c r="AG1013" s="115"/>
      <c r="AH1013" s="115"/>
      <c r="AI1013" s="132">
        <f t="shared" si="321"/>
        <v>286206</v>
      </c>
      <c r="AJ1013" s="132">
        <f t="shared" si="322"/>
        <v>286206</v>
      </c>
      <c r="AK1013" s="133">
        <f t="shared" si="323"/>
        <v>0</v>
      </c>
      <c r="AL1013" s="115"/>
      <c r="AM1013" s="115" t="s">
        <v>974</v>
      </c>
      <c r="AN1013" s="246">
        <v>44866</v>
      </c>
      <c r="AO1013" s="137"/>
      <c r="AP1013" s="97"/>
      <c r="AQ1013" s="97"/>
      <c r="AR1013" s="97"/>
      <c r="AS1013" s="97"/>
      <c r="AT1013" s="97"/>
      <c r="AU1013" s="97"/>
      <c r="AV1013" s="97"/>
      <c r="AW1013" s="97"/>
      <c r="AX1013" s="97"/>
      <c r="AY1013" s="97"/>
      <c r="AZ1013" s="97"/>
      <c r="BA1013" s="97"/>
      <c r="BB1013" s="97"/>
      <c r="BC1013" s="97"/>
      <c r="BD1013" s="97"/>
      <c r="BE1013" s="97"/>
    </row>
    <row r="1014" s="254" customFormat="1" customHeight="1" spans="1:57">
      <c r="A1014" s="115" t="s">
        <v>8301</v>
      </c>
      <c r="B1014" s="111" t="s">
        <v>8302</v>
      </c>
      <c r="C1014" s="111" t="s">
        <v>8303</v>
      </c>
      <c r="D1014" s="121" t="s">
        <v>8304</v>
      </c>
      <c r="E1014" s="113">
        <v>18203654225</v>
      </c>
      <c r="F1014" s="267">
        <v>3</v>
      </c>
      <c r="G1014" s="268">
        <v>3319</v>
      </c>
      <c r="H1014" s="274">
        <v>16.74</v>
      </c>
      <c r="I1014" s="274" t="s">
        <v>2657</v>
      </c>
      <c r="J1014" s="113" t="s">
        <v>8305</v>
      </c>
      <c r="K1014" s="116">
        <v>17.21</v>
      </c>
      <c r="L1014" s="266" t="s">
        <v>3009</v>
      </c>
      <c r="M1014" s="266" t="s">
        <v>4363</v>
      </c>
      <c r="N1014" s="113" t="s">
        <v>66</v>
      </c>
      <c r="O1014" s="113"/>
      <c r="P1014" s="113"/>
      <c r="Q1014" s="113">
        <v>32086.52</v>
      </c>
      <c r="R1014" s="113">
        <v>552209</v>
      </c>
      <c r="S1014" s="121">
        <v>282209</v>
      </c>
      <c r="T1014" s="292">
        <f>R1014-S1014</f>
        <v>270000</v>
      </c>
      <c r="U1014" s="113"/>
      <c r="V1014" s="113"/>
      <c r="W1014" s="113"/>
      <c r="X1014" s="113"/>
      <c r="Y1014" s="113"/>
      <c r="Z1014" s="113"/>
      <c r="AA1014" s="113"/>
      <c r="AB1014" s="113"/>
      <c r="AC1014" s="321"/>
      <c r="AD1014" s="115"/>
      <c r="AE1014" s="115"/>
      <c r="AF1014" s="115"/>
      <c r="AG1014" s="115"/>
      <c r="AH1014" s="115"/>
      <c r="AI1014" s="132">
        <f t="shared" si="321"/>
        <v>282209</v>
      </c>
      <c r="AJ1014" s="132">
        <f t="shared" si="322"/>
        <v>282209</v>
      </c>
      <c r="AK1014" s="133">
        <f t="shared" si="323"/>
        <v>0</v>
      </c>
      <c r="AL1014" s="115"/>
      <c r="AM1014" s="115" t="s">
        <v>974</v>
      </c>
      <c r="AN1014" s="246">
        <v>44866</v>
      </c>
      <c r="AO1014" s="137"/>
      <c r="AP1014" s="97"/>
      <c r="AQ1014" s="97"/>
      <c r="AR1014" s="97"/>
      <c r="AS1014" s="97"/>
      <c r="AT1014" s="97"/>
      <c r="AU1014" s="97"/>
      <c r="AV1014" s="97"/>
      <c r="AW1014" s="97"/>
      <c r="AX1014" s="97"/>
      <c r="AY1014" s="97"/>
      <c r="AZ1014" s="97"/>
      <c r="BA1014" s="97"/>
      <c r="BB1014" s="97"/>
      <c r="BC1014" s="97"/>
      <c r="BD1014" s="97"/>
      <c r="BE1014" s="97"/>
    </row>
    <row r="1015" s="254" customFormat="1" customHeight="1" spans="1:41">
      <c r="A1015" s="115" t="s">
        <v>8306</v>
      </c>
      <c r="B1015" s="111" t="s">
        <v>8307</v>
      </c>
      <c r="C1015" s="111" t="s">
        <v>8308</v>
      </c>
      <c r="D1015" s="113" t="s">
        <v>8309</v>
      </c>
      <c r="E1015" s="113">
        <v>18838295226</v>
      </c>
      <c r="F1015" s="267">
        <v>4</v>
      </c>
      <c r="G1015" s="268">
        <v>461</v>
      </c>
      <c r="H1015" s="274">
        <v>17.21</v>
      </c>
      <c r="I1015" s="274" t="s">
        <v>2657</v>
      </c>
      <c r="J1015" s="113" t="s">
        <v>8310</v>
      </c>
      <c r="K1015" s="113">
        <v>18.39</v>
      </c>
      <c r="L1015" s="266" t="s">
        <v>3740</v>
      </c>
      <c r="M1015" s="266" t="s">
        <v>3740</v>
      </c>
      <c r="N1015" s="113" t="s">
        <v>66</v>
      </c>
      <c r="O1015" s="113"/>
      <c r="P1015" s="113"/>
      <c r="Q1015" s="113">
        <v>26034.91</v>
      </c>
      <c r="R1015" s="113">
        <v>478782</v>
      </c>
      <c r="S1015" s="121">
        <v>248782</v>
      </c>
      <c r="T1015" s="292">
        <f>R1015-S1015</f>
        <v>230000</v>
      </c>
      <c r="U1015" s="113"/>
      <c r="V1015" s="113"/>
      <c r="W1015" s="113"/>
      <c r="X1015" s="113"/>
      <c r="Y1015" s="113"/>
      <c r="Z1015" s="113"/>
      <c r="AA1015" s="113"/>
      <c r="AB1015" s="113"/>
      <c r="AC1015" s="321"/>
      <c r="AD1015" s="115"/>
      <c r="AE1015" s="115"/>
      <c r="AF1015" s="115"/>
      <c r="AG1015" s="115"/>
      <c r="AH1015" s="115"/>
      <c r="AI1015" s="132">
        <f t="shared" si="321"/>
        <v>248782</v>
      </c>
      <c r="AJ1015" s="132">
        <f t="shared" si="322"/>
        <v>248782</v>
      </c>
      <c r="AK1015" s="133">
        <f t="shared" si="323"/>
        <v>0</v>
      </c>
      <c r="AL1015" s="115"/>
      <c r="AM1015" s="115" t="s">
        <v>974</v>
      </c>
      <c r="AN1015" s="246">
        <v>44866</v>
      </c>
      <c r="AO1015" s="137"/>
    </row>
    <row r="1016" s="254" customFormat="1" customHeight="1" spans="1:57">
      <c r="A1016" s="115" t="s">
        <v>8311</v>
      </c>
      <c r="B1016" s="111" t="s">
        <v>8312</v>
      </c>
      <c r="C1016" s="111" t="s">
        <v>8313</v>
      </c>
      <c r="D1016" s="121" t="s">
        <v>8314</v>
      </c>
      <c r="E1016" s="113">
        <v>15038303290</v>
      </c>
      <c r="F1016" s="267">
        <v>3</v>
      </c>
      <c r="G1016" s="268">
        <v>3591</v>
      </c>
      <c r="H1016" s="274">
        <v>14.63</v>
      </c>
      <c r="I1016" s="274" t="s">
        <v>2657</v>
      </c>
      <c r="J1016" s="113" t="s">
        <v>8315</v>
      </c>
      <c r="K1016" s="113">
        <v>12.12</v>
      </c>
      <c r="L1016" s="266" t="s">
        <v>2961</v>
      </c>
      <c r="M1016" s="266" t="s">
        <v>5754</v>
      </c>
      <c r="N1016" s="113" t="s">
        <v>66</v>
      </c>
      <c r="O1016" s="113"/>
      <c r="P1016" s="113"/>
      <c r="Q1016" s="113">
        <v>32085.07</v>
      </c>
      <c r="R1016" s="113">
        <v>388871</v>
      </c>
      <c r="S1016" s="121">
        <v>198871</v>
      </c>
      <c r="T1016" s="292">
        <f>R1016-S1016</f>
        <v>190000</v>
      </c>
      <c r="U1016" s="113"/>
      <c r="V1016" s="113"/>
      <c r="W1016" s="113"/>
      <c r="X1016" s="113"/>
      <c r="Y1016" s="113"/>
      <c r="Z1016" s="113"/>
      <c r="AA1016" s="113"/>
      <c r="AB1016" s="113"/>
      <c r="AC1016" s="321"/>
      <c r="AD1016" s="115"/>
      <c r="AE1016" s="115"/>
      <c r="AF1016" s="115"/>
      <c r="AG1016" s="115"/>
      <c r="AH1016" s="115"/>
      <c r="AI1016" s="132">
        <f t="shared" si="321"/>
        <v>198871</v>
      </c>
      <c r="AJ1016" s="132">
        <f t="shared" si="322"/>
        <v>198871</v>
      </c>
      <c r="AK1016" s="133">
        <f t="shared" si="323"/>
        <v>0</v>
      </c>
      <c r="AL1016" s="115"/>
      <c r="AM1016" s="115" t="s">
        <v>974</v>
      </c>
      <c r="AN1016" s="246">
        <v>44866</v>
      </c>
      <c r="AO1016" s="137"/>
      <c r="AP1016" s="97"/>
      <c r="AQ1016" s="97"/>
      <c r="AR1016" s="97"/>
      <c r="AS1016" s="97"/>
      <c r="AT1016" s="97"/>
      <c r="AU1016" s="97"/>
      <c r="AV1016" s="97"/>
      <c r="AW1016" s="97"/>
      <c r="AX1016" s="97"/>
      <c r="AY1016" s="97"/>
      <c r="AZ1016" s="97"/>
      <c r="BA1016" s="97"/>
      <c r="BB1016" s="97"/>
      <c r="BC1016" s="97"/>
      <c r="BD1016" s="97"/>
      <c r="BE1016" s="97"/>
    </row>
    <row r="1017" s="254" customFormat="1" customHeight="1" spans="1:57">
      <c r="A1017" s="115" t="s">
        <v>8316</v>
      </c>
      <c r="B1017" s="111" t="s">
        <v>8317</v>
      </c>
      <c r="C1017" s="554" t="s">
        <v>8318</v>
      </c>
      <c r="D1017" s="113" t="s">
        <v>8319</v>
      </c>
      <c r="E1017" s="113">
        <v>13203891128</v>
      </c>
      <c r="F1017" s="267">
        <v>1</v>
      </c>
      <c r="G1017" s="268">
        <v>1167</v>
      </c>
      <c r="H1017" s="274">
        <v>11.62</v>
      </c>
      <c r="I1017" s="274" t="s">
        <v>2657</v>
      </c>
      <c r="J1017" s="113" t="s">
        <v>8320</v>
      </c>
      <c r="K1017" s="116">
        <v>13.67</v>
      </c>
      <c r="L1017" s="266" t="s">
        <v>3858</v>
      </c>
      <c r="M1017" s="266" t="s">
        <v>2869</v>
      </c>
      <c r="N1017" s="113" t="s">
        <v>66</v>
      </c>
      <c r="O1017" s="113"/>
      <c r="P1017" s="113"/>
      <c r="Q1017" s="113">
        <v>48194</v>
      </c>
      <c r="R1017" s="113">
        <v>560014</v>
      </c>
      <c r="S1017" s="121">
        <v>340014</v>
      </c>
      <c r="T1017" s="121"/>
      <c r="U1017" s="113">
        <v>220000</v>
      </c>
      <c r="V1017" s="113">
        <v>755</v>
      </c>
      <c r="W1017" s="113">
        <v>550</v>
      </c>
      <c r="X1017" s="113"/>
      <c r="Y1017" s="113" t="s">
        <v>2669</v>
      </c>
      <c r="Z1017" s="113" t="s">
        <v>48</v>
      </c>
      <c r="AA1017" s="305">
        <v>44022</v>
      </c>
      <c r="AB1017" s="113"/>
      <c r="AC1017" s="321">
        <v>1242</v>
      </c>
      <c r="AD1017" s="115"/>
      <c r="AE1017" s="115"/>
      <c r="AF1017" s="115"/>
      <c r="AG1017" s="115"/>
      <c r="AH1017" s="115"/>
      <c r="AI1017" s="132">
        <f t="shared" si="321"/>
        <v>562561</v>
      </c>
      <c r="AJ1017" s="132">
        <f t="shared" si="322"/>
        <v>561319</v>
      </c>
      <c r="AK1017" s="133">
        <f t="shared" si="323"/>
        <v>1242</v>
      </c>
      <c r="AL1017" s="115"/>
      <c r="AM1017" s="115" t="s">
        <v>974</v>
      </c>
      <c r="AN1017" s="246">
        <v>44866</v>
      </c>
      <c r="AO1017" s="137"/>
      <c r="AP1017" s="97"/>
      <c r="AQ1017" s="97"/>
      <c r="AR1017" s="97"/>
      <c r="AS1017" s="97"/>
      <c r="AT1017" s="97"/>
      <c r="AU1017" s="97"/>
      <c r="AV1017" s="97"/>
      <c r="AW1017" s="97"/>
      <c r="AX1017" s="97"/>
      <c r="AY1017" s="97"/>
      <c r="AZ1017" s="97"/>
      <c r="BA1017" s="97"/>
      <c r="BB1017" s="97"/>
      <c r="BC1017" s="97"/>
      <c r="BD1017" s="97"/>
      <c r="BE1017" s="97"/>
    </row>
    <row r="1018" s="254" customFormat="1" customHeight="1" spans="1:41">
      <c r="A1018" s="337" t="s">
        <v>8321</v>
      </c>
      <c r="B1018" s="296" t="s">
        <v>8322</v>
      </c>
      <c r="C1018" s="556" t="s">
        <v>8323</v>
      </c>
      <c r="D1018" s="267" t="s">
        <v>8324</v>
      </c>
      <c r="E1018" s="267"/>
      <c r="F1018" s="267">
        <v>4</v>
      </c>
      <c r="G1018" s="268">
        <v>417</v>
      </c>
      <c r="H1018" s="274">
        <v>30.01</v>
      </c>
      <c r="I1018" s="274" t="s">
        <v>2665</v>
      </c>
      <c r="J1018" s="267" t="s">
        <v>8325</v>
      </c>
      <c r="K1018" s="326">
        <v>31.78</v>
      </c>
      <c r="L1018" s="268" t="s">
        <v>2711</v>
      </c>
      <c r="M1018" s="268" t="s">
        <v>2799</v>
      </c>
      <c r="N1018" s="267" t="s">
        <v>56</v>
      </c>
      <c r="O1018" s="267"/>
      <c r="P1018" s="267"/>
      <c r="Q1018" s="274">
        <v>19224.9528005035</v>
      </c>
      <c r="R1018" s="267">
        <v>610969</v>
      </c>
      <c r="S1018" s="292">
        <v>610969</v>
      </c>
      <c r="T1018" s="292">
        <f t="shared" ref="T1018:T1037" si="324">R1018-S1018</f>
        <v>0</v>
      </c>
      <c r="U1018" s="267"/>
      <c r="V1018" s="267"/>
      <c r="W1018" s="267"/>
      <c r="X1018" s="267"/>
      <c r="Y1018" s="267"/>
      <c r="Z1018" s="267"/>
      <c r="AA1018" s="267"/>
      <c r="AB1018" s="267" t="s">
        <v>8326</v>
      </c>
      <c r="AC1018" s="321"/>
      <c r="AD1018" s="115"/>
      <c r="AE1018" s="115"/>
      <c r="AF1018" s="115"/>
      <c r="AG1018" s="115"/>
      <c r="AH1018" s="115"/>
      <c r="AI1018" s="132">
        <f t="shared" si="321"/>
        <v>610969</v>
      </c>
      <c r="AJ1018" s="341"/>
      <c r="AK1018" s="133">
        <f t="shared" si="323"/>
        <v>610969</v>
      </c>
      <c r="AL1018" s="337" t="s">
        <v>7365</v>
      </c>
      <c r="AM1018" s="115" t="s">
        <v>974</v>
      </c>
      <c r="AN1018" s="246">
        <v>44866</v>
      </c>
      <c r="AO1018" s="137" t="s">
        <v>8327</v>
      </c>
    </row>
    <row r="1019" s="254" customFormat="1" customHeight="1" spans="1:57">
      <c r="A1019" s="115" t="s">
        <v>8328</v>
      </c>
      <c r="B1019" s="296" t="s">
        <v>8329</v>
      </c>
      <c r="C1019" s="556" t="s">
        <v>8330</v>
      </c>
      <c r="D1019" s="267" t="s">
        <v>8331</v>
      </c>
      <c r="E1019" s="267">
        <v>18535280666</v>
      </c>
      <c r="F1019" s="267">
        <v>4</v>
      </c>
      <c r="G1019" s="268">
        <v>424</v>
      </c>
      <c r="H1019" s="274">
        <v>21.44</v>
      </c>
      <c r="I1019" s="274" t="s">
        <v>2665</v>
      </c>
      <c r="J1019" s="267" t="s">
        <v>8332</v>
      </c>
      <c r="K1019" s="326">
        <v>25.43</v>
      </c>
      <c r="L1019" s="268" t="s">
        <v>2711</v>
      </c>
      <c r="M1019" s="268" t="s">
        <v>2799</v>
      </c>
      <c r="N1019" s="267" t="s">
        <v>56</v>
      </c>
      <c r="O1019" s="267"/>
      <c r="P1019" s="267"/>
      <c r="Q1019" s="274">
        <v>19224.9705072749</v>
      </c>
      <c r="R1019" s="267">
        <v>488891</v>
      </c>
      <c r="S1019" s="292">
        <v>488891</v>
      </c>
      <c r="T1019" s="292">
        <f t="shared" si="324"/>
        <v>0</v>
      </c>
      <c r="U1019" s="267"/>
      <c r="V1019" s="267"/>
      <c r="W1019" s="267"/>
      <c r="X1019" s="267"/>
      <c r="Y1019" s="267"/>
      <c r="Z1019" s="267"/>
      <c r="AA1019" s="267"/>
      <c r="AB1019" s="267"/>
      <c r="AC1019" s="321"/>
      <c r="AD1019" s="115"/>
      <c r="AE1019" s="115"/>
      <c r="AF1019" s="115"/>
      <c r="AG1019" s="115"/>
      <c r="AH1019" s="115"/>
      <c r="AI1019" s="132">
        <f t="shared" ref="AI1019:AI1022" si="325">S1019+U1019+V1019+W1019+X1019+AC1019+AD1019+AE1019</f>
        <v>488891</v>
      </c>
      <c r="AJ1019" s="132">
        <f t="shared" ref="AJ1019:AJ1022" si="326">S1019+U1019+V1019+W1019+X1019</f>
        <v>488891</v>
      </c>
      <c r="AK1019" s="133">
        <f t="shared" si="323"/>
        <v>0</v>
      </c>
      <c r="AL1019" s="115"/>
      <c r="AM1019" s="115" t="s">
        <v>974</v>
      </c>
      <c r="AN1019" s="246">
        <v>44866</v>
      </c>
      <c r="AO1019" s="137"/>
      <c r="AP1019" s="97"/>
      <c r="AQ1019" s="97"/>
      <c r="AR1019" s="97"/>
      <c r="AS1019" s="97"/>
      <c r="AT1019" s="97"/>
      <c r="AU1019" s="97"/>
      <c r="AV1019" s="97"/>
      <c r="AW1019" s="97"/>
      <c r="AX1019" s="97"/>
      <c r="AY1019" s="97"/>
      <c r="AZ1019" s="97"/>
      <c r="BA1019" s="97"/>
      <c r="BB1019" s="97"/>
      <c r="BC1019" s="97"/>
      <c r="BD1019" s="97"/>
      <c r="BE1019" s="97"/>
    </row>
    <row r="1020" s="254" customFormat="1" customHeight="1" spans="1:57">
      <c r="A1020" s="337" t="s">
        <v>8333</v>
      </c>
      <c r="B1020" s="111" t="s">
        <v>8334</v>
      </c>
      <c r="C1020" s="554" t="s">
        <v>8335</v>
      </c>
      <c r="D1020" s="113" t="s">
        <v>8336</v>
      </c>
      <c r="E1020" s="113">
        <v>18638175777</v>
      </c>
      <c r="F1020" s="267">
        <v>1</v>
      </c>
      <c r="G1020" s="268">
        <v>1578</v>
      </c>
      <c r="H1020" s="274">
        <v>20.92</v>
      </c>
      <c r="I1020" s="274" t="s">
        <v>2657</v>
      </c>
      <c r="J1020" s="113" t="s">
        <v>8337</v>
      </c>
      <c r="K1020" s="116">
        <v>21.31</v>
      </c>
      <c r="L1020" s="266" t="s">
        <v>2890</v>
      </c>
      <c r="M1020" s="266" t="s">
        <v>4369</v>
      </c>
      <c r="N1020" s="113" t="s">
        <v>66</v>
      </c>
      <c r="O1020" s="113"/>
      <c r="P1020" s="113"/>
      <c r="Q1020" s="113">
        <v>48226.94</v>
      </c>
      <c r="R1020" s="113">
        <v>1027716</v>
      </c>
      <c r="S1020" s="121">
        <v>517716</v>
      </c>
      <c r="T1020" s="292">
        <f t="shared" si="324"/>
        <v>510000</v>
      </c>
      <c r="U1020" s="113"/>
      <c r="V1020" s="113"/>
      <c r="W1020" s="113"/>
      <c r="X1020" s="113"/>
      <c r="Y1020" s="113"/>
      <c r="Z1020" s="113"/>
      <c r="AA1020" s="113"/>
      <c r="AB1020" s="113" t="s">
        <v>8338</v>
      </c>
      <c r="AC1020" s="321"/>
      <c r="AD1020" s="115"/>
      <c r="AE1020" s="115"/>
      <c r="AF1020" s="115"/>
      <c r="AG1020" s="115"/>
      <c r="AH1020" s="115"/>
      <c r="AI1020" s="132">
        <f t="shared" si="325"/>
        <v>517716</v>
      </c>
      <c r="AJ1020" s="341"/>
      <c r="AK1020" s="133">
        <f t="shared" si="323"/>
        <v>517716</v>
      </c>
      <c r="AL1020" s="337" t="s">
        <v>7365</v>
      </c>
      <c r="AM1020" s="115" t="s">
        <v>974</v>
      </c>
      <c r="AN1020" s="246">
        <v>44866</v>
      </c>
      <c r="AO1020" s="137"/>
      <c r="AP1020" s="97"/>
      <c r="AQ1020" s="97"/>
      <c r="AR1020" s="97"/>
      <c r="AS1020" s="97"/>
      <c r="AT1020" s="97"/>
      <c r="AU1020" s="97"/>
      <c r="AV1020" s="97"/>
      <c r="AW1020" s="97"/>
      <c r="AX1020" s="97"/>
      <c r="AY1020" s="97"/>
      <c r="AZ1020" s="97"/>
      <c r="BA1020" s="97"/>
      <c r="BB1020" s="97"/>
      <c r="BC1020" s="97"/>
      <c r="BD1020" s="97"/>
      <c r="BE1020" s="97"/>
    </row>
    <row r="1021" s="254" customFormat="1" customHeight="1" spans="1:57">
      <c r="A1021" s="115" t="s">
        <v>8339</v>
      </c>
      <c r="B1021" s="111" t="s">
        <v>8340</v>
      </c>
      <c r="C1021" s="111" t="s">
        <v>8341</v>
      </c>
      <c r="D1021" s="121" t="s">
        <v>8342</v>
      </c>
      <c r="E1021" s="113">
        <v>18503846808</v>
      </c>
      <c r="F1021" s="267">
        <v>3</v>
      </c>
      <c r="G1021" s="267">
        <v>3640</v>
      </c>
      <c r="H1021" s="274">
        <v>20.12</v>
      </c>
      <c r="I1021" s="274" t="s">
        <v>2657</v>
      </c>
      <c r="J1021" s="113" t="s">
        <v>8343</v>
      </c>
      <c r="K1021" s="113">
        <v>19.82</v>
      </c>
      <c r="L1021" s="266" t="s">
        <v>3858</v>
      </c>
      <c r="M1021" s="266" t="s">
        <v>6132</v>
      </c>
      <c r="N1021" s="113" t="s">
        <v>66</v>
      </c>
      <c r="O1021" s="113"/>
      <c r="P1021" s="113"/>
      <c r="Q1021" s="113">
        <v>31153.38</v>
      </c>
      <c r="R1021" s="113">
        <v>626806</v>
      </c>
      <c r="S1021" s="121">
        <v>326806</v>
      </c>
      <c r="T1021" s="292">
        <f t="shared" si="324"/>
        <v>300000</v>
      </c>
      <c r="U1021" s="113"/>
      <c r="V1021" s="113">
        <v>1307</v>
      </c>
      <c r="W1021" s="113">
        <v>550</v>
      </c>
      <c r="X1021" s="113"/>
      <c r="Y1021" s="113" t="s">
        <v>2669</v>
      </c>
      <c r="Z1021" s="113"/>
      <c r="AA1021" s="113"/>
      <c r="AB1021" s="113"/>
      <c r="AC1021" s="321">
        <v>1250</v>
      </c>
      <c r="AD1021" s="115"/>
      <c r="AE1021" s="115"/>
      <c r="AF1021" s="115"/>
      <c r="AG1021" s="115"/>
      <c r="AH1021" s="115"/>
      <c r="AI1021" s="132">
        <f t="shared" si="325"/>
        <v>329913</v>
      </c>
      <c r="AJ1021" s="132">
        <f t="shared" si="326"/>
        <v>328663</v>
      </c>
      <c r="AK1021" s="133">
        <f t="shared" si="323"/>
        <v>1250</v>
      </c>
      <c r="AL1021" s="115"/>
      <c r="AM1021" s="115" t="s">
        <v>974</v>
      </c>
      <c r="AN1021" s="246">
        <v>44866</v>
      </c>
      <c r="AO1021" s="137"/>
      <c r="AP1021" s="97"/>
      <c r="AQ1021" s="97"/>
      <c r="AR1021" s="97"/>
      <c r="AS1021" s="97"/>
      <c r="AT1021" s="97"/>
      <c r="AU1021" s="97"/>
      <c r="AV1021" s="97"/>
      <c r="AW1021" s="97"/>
      <c r="AX1021" s="97"/>
      <c r="AY1021" s="97"/>
      <c r="AZ1021" s="97"/>
      <c r="BA1021" s="97"/>
      <c r="BB1021" s="97"/>
      <c r="BC1021" s="97"/>
      <c r="BD1021" s="97"/>
      <c r="BE1021" s="97"/>
    </row>
    <row r="1022" s="254" customFormat="1" customHeight="1" spans="1:41">
      <c r="A1022" s="115" t="s">
        <v>8344</v>
      </c>
      <c r="B1022" s="111" t="s">
        <v>8345</v>
      </c>
      <c r="C1022" s="111" t="s">
        <v>8346</v>
      </c>
      <c r="D1022" s="121" t="s">
        <v>8347</v>
      </c>
      <c r="E1022" s="113">
        <v>13071025250</v>
      </c>
      <c r="F1022" s="267">
        <v>3</v>
      </c>
      <c r="G1022" s="268">
        <v>3568</v>
      </c>
      <c r="H1022" s="274">
        <v>9.12</v>
      </c>
      <c r="I1022" s="274" t="s">
        <v>2657</v>
      </c>
      <c r="J1022" s="113" t="s">
        <v>8348</v>
      </c>
      <c r="K1022" s="113">
        <v>8.51</v>
      </c>
      <c r="L1022" s="266" t="s">
        <v>4334</v>
      </c>
      <c r="M1022" s="266" t="s">
        <v>3508</v>
      </c>
      <c r="N1022" s="113" t="s">
        <v>66</v>
      </c>
      <c r="O1022" s="113"/>
      <c r="P1022" s="113"/>
      <c r="Q1022" s="113">
        <v>32822.56</v>
      </c>
      <c r="R1022" s="113">
        <v>279320</v>
      </c>
      <c r="S1022" s="121">
        <v>149320</v>
      </c>
      <c r="T1022" s="292">
        <f t="shared" si="324"/>
        <v>130000</v>
      </c>
      <c r="U1022" s="113"/>
      <c r="V1022" s="113"/>
      <c r="W1022" s="113"/>
      <c r="X1022" s="113"/>
      <c r="Y1022" s="113"/>
      <c r="Z1022" s="113"/>
      <c r="AA1022" s="113"/>
      <c r="AB1022" s="113"/>
      <c r="AC1022" s="354"/>
      <c r="AD1022" s="115"/>
      <c r="AE1022" s="115"/>
      <c r="AF1022" s="115"/>
      <c r="AG1022" s="115"/>
      <c r="AH1022" s="115"/>
      <c r="AI1022" s="132">
        <f t="shared" si="325"/>
        <v>149320</v>
      </c>
      <c r="AJ1022" s="132">
        <f t="shared" si="326"/>
        <v>149320</v>
      </c>
      <c r="AK1022" s="133">
        <f t="shared" si="323"/>
        <v>0</v>
      </c>
      <c r="AL1022" s="115"/>
      <c r="AM1022" s="115" t="s">
        <v>974</v>
      </c>
      <c r="AN1022" s="246">
        <v>44866</v>
      </c>
      <c r="AO1022" s="137"/>
    </row>
    <row r="1023" s="254" customFormat="1" customHeight="1" spans="1:41">
      <c r="A1023" s="337" t="s">
        <v>8349</v>
      </c>
      <c r="B1023" s="111" t="s">
        <v>8350</v>
      </c>
      <c r="C1023" s="111" t="s">
        <v>8351</v>
      </c>
      <c r="D1023" s="121" t="s">
        <v>8352</v>
      </c>
      <c r="E1023" s="113">
        <v>15937175108</v>
      </c>
      <c r="F1023" s="267">
        <v>3</v>
      </c>
      <c r="G1023" s="268">
        <v>3769</v>
      </c>
      <c r="H1023" s="274">
        <v>16.95</v>
      </c>
      <c r="I1023" s="274" t="s">
        <v>2657</v>
      </c>
      <c r="J1023" s="113" t="s">
        <v>8353</v>
      </c>
      <c r="K1023" s="113">
        <v>18.61</v>
      </c>
      <c r="L1023" s="266" t="s">
        <v>3571</v>
      </c>
      <c r="M1023" s="266" t="s">
        <v>8354</v>
      </c>
      <c r="N1023" s="113" t="s">
        <v>66</v>
      </c>
      <c r="O1023" s="113"/>
      <c r="P1023" s="113"/>
      <c r="Q1023" s="113">
        <v>32183.66</v>
      </c>
      <c r="R1023" s="113">
        <v>545513</v>
      </c>
      <c r="S1023" s="121">
        <v>315513</v>
      </c>
      <c r="T1023" s="292">
        <f t="shared" si="324"/>
        <v>230000</v>
      </c>
      <c r="U1023" s="113"/>
      <c r="V1023" s="113">
        <v>1101</v>
      </c>
      <c r="W1023" s="113">
        <v>550</v>
      </c>
      <c r="X1023" s="113"/>
      <c r="Y1023" s="113" t="s">
        <v>2669</v>
      </c>
      <c r="Z1023" s="113"/>
      <c r="AA1023" s="113"/>
      <c r="AB1023" s="113"/>
      <c r="AC1023" s="321"/>
      <c r="AD1023" s="115"/>
      <c r="AE1023" s="115"/>
      <c r="AF1023" s="115"/>
      <c r="AG1023" s="115"/>
      <c r="AH1023" s="115"/>
      <c r="AI1023" s="132">
        <f t="shared" ref="AI1023:AI1028" si="327">S1023+U1023+V1023+W1023+X1023+AC1023+AD1023+AE1023</f>
        <v>317164</v>
      </c>
      <c r="AJ1023" s="355"/>
      <c r="AK1023" s="133">
        <f t="shared" si="323"/>
        <v>317164</v>
      </c>
      <c r="AL1023" s="337" t="s">
        <v>7365</v>
      </c>
      <c r="AM1023" s="115" t="s">
        <v>974</v>
      </c>
      <c r="AN1023" s="246">
        <v>44866</v>
      </c>
      <c r="AO1023" s="137"/>
    </row>
    <row r="1024" s="254" customFormat="1" customHeight="1" spans="1:57">
      <c r="A1024" s="115" t="s">
        <v>8355</v>
      </c>
      <c r="B1024" s="296" t="s">
        <v>8356</v>
      </c>
      <c r="C1024" s="556" t="s">
        <v>8357</v>
      </c>
      <c r="D1024" s="267" t="s">
        <v>8358</v>
      </c>
      <c r="E1024" s="267">
        <v>18135685999</v>
      </c>
      <c r="F1024" s="267">
        <v>3</v>
      </c>
      <c r="G1024" s="268">
        <v>3114</v>
      </c>
      <c r="H1024" s="274">
        <v>25.16</v>
      </c>
      <c r="I1024" s="274" t="s">
        <v>2665</v>
      </c>
      <c r="J1024" s="267" t="s">
        <v>8359</v>
      </c>
      <c r="K1024" s="326">
        <v>29.28</v>
      </c>
      <c r="L1024" s="268" t="s">
        <v>4028</v>
      </c>
      <c r="M1024" s="268" t="s">
        <v>3017</v>
      </c>
      <c r="N1024" s="267" t="s">
        <v>66</v>
      </c>
      <c r="O1024" s="267"/>
      <c r="P1024" s="267"/>
      <c r="Q1024" s="274">
        <v>22857.9234972678</v>
      </c>
      <c r="R1024" s="267">
        <v>575105</v>
      </c>
      <c r="S1024" s="292">
        <v>337105</v>
      </c>
      <c r="T1024" s="292">
        <f t="shared" si="324"/>
        <v>238000</v>
      </c>
      <c r="U1024" s="267"/>
      <c r="V1024" s="267">
        <v>1635</v>
      </c>
      <c r="W1024" s="267">
        <v>550</v>
      </c>
      <c r="X1024" s="267"/>
      <c r="Y1024" s="267"/>
      <c r="Z1024" s="267"/>
      <c r="AA1024" s="267"/>
      <c r="AB1024" s="267"/>
      <c r="AC1024" s="321"/>
      <c r="AD1024" s="115"/>
      <c r="AE1024" s="115"/>
      <c r="AF1024" s="115"/>
      <c r="AG1024" s="115"/>
      <c r="AH1024" s="115"/>
      <c r="AI1024" s="132">
        <f t="shared" si="327"/>
        <v>339290</v>
      </c>
      <c r="AJ1024" s="132">
        <f t="shared" ref="AJ1024:AJ1026" si="328">S1024+U1024+V1024+W1024+X1024</f>
        <v>339290</v>
      </c>
      <c r="AK1024" s="133">
        <f t="shared" si="323"/>
        <v>0</v>
      </c>
      <c r="AL1024" s="115"/>
      <c r="AM1024" s="115" t="s">
        <v>974</v>
      </c>
      <c r="AN1024" s="246">
        <v>44866</v>
      </c>
      <c r="AO1024" s="137"/>
      <c r="AP1024" s="97"/>
      <c r="AQ1024" s="97"/>
      <c r="AR1024" s="97"/>
      <c r="AS1024" s="97"/>
      <c r="AT1024" s="97"/>
      <c r="AU1024" s="97"/>
      <c r="AV1024" s="97"/>
      <c r="AW1024" s="97"/>
      <c r="AX1024" s="97"/>
      <c r="AY1024" s="97"/>
      <c r="AZ1024" s="97"/>
      <c r="BA1024" s="97"/>
      <c r="BB1024" s="97"/>
      <c r="BC1024" s="97"/>
      <c r="BD1024" s="97"/>
      <c r="BE1024" s="97"/>
    </row>
    <row r="1025" s="254" customFormat="1" customHeight="1" spans="1:41">
      <c r="A1025" s="115" t="s">
        <v>8360</v>
      </c>
      <c r="B1025" s="111" t="s">
        <v>8361</v>
      </c>
      <c r="C1025" s="111" t="s">
        <v>8362</v>
      </c>
      <c r="D1025" s="121" t="s">
        <v>8363</v>
      </c>
      <c r="E1025" s="113">
        <v>13526814328</v>
      </c>
      <c r="F1025" s="267">
        <v>3</v>
      </c>
      <c r="G1025" s="268">
        <v>3481</v>
      </c>
      <c r="H1025" s="274">
        <v>18.65</v>
      </c>
      <c r="I1025" s="274" t="s">
        <v>2657</v>
      </c>
      <c r="J1025" s="113" t="s">
        <v>8364</v>
      </c>
      <c r="K1025" s="113">
        <v>17.16</v>
      </c>
      <c r="L1025" s="266" t="s">
        <v>2675</v>
      </c>
      <c r="M1025" s="266" t="s">
        <v>8365</v>
      </c>
      <c r="N1025" s="113" t="s">
        <v>66</v>
      </c>
      <c r="O1025" s="113"/>
      <c r="P1025" s="113"/>
      <c r="Q1025" s="113">
        <v>33073.31</v>
      </c>
      <c r="R1025" s="113">
        <v>616817</v>
      </c>
      <c r="S1025" s="121">
        <v>316817</v>
      </c>
      <c r="T1025" s="292">
        <f t="shared" si="324"/>
        <v>300000</v>
      </c>
      <c r="U1025" s="113"/>
      <c r="V1025" s="113">
        <v>1212</v>
      </c>
      <c r="W1025" s="113">
        <v>550</v>
      </c>
      <c r="X1025" s="113"/>
      <c r="Y1025" s="113" t="s">
        <v>2669</v>
      </c>
      <c r="Z1025" s="113" t="s">
        <v>48</v>
      </c>
      <c r="AA1025" s="305">
        <v>44184</v>
      </c>
      <c r="AB1025" s="113"/>
      <c r="AC1025" s="321">
        <v>1250</v>
      </c>
      <c r="AD1025" s="115"/>
      <c r="AE1025" s="115"/>
      <c r="AF1025" s="115"/>
      <c r="AG1025" s="115"/>
      <c r="AH1025" s="115"/>
      <c r="AI1025" s="132">
        <f t="shared" si="327"/>
        <v>319829</v>
      </c>
      <c r="AJ1025" s="132">
        <f t="shared" si="328"/>
        <v>318579</v>
      </c>
      <c r="AK1025" s="133">
        <f t="shared" si="323"/>
        <v>1250</v>
      </c>
      <c r="AL1025" s="115"/>
      <c r="AM1025" s="115" t="s">
        <v>974</v>
      </c>
      <c r="AN1025" s="246">
        <v>44866</v>
      </c>
      <c r="AO1025" s="137"/>
    </row>
    <row r="1026" s="254" customFormat="1" customHeight="1" spans="1:57">
      <c r="A1026" s="115" t="s">
        <v>8366</v>
      </c>
      <c r="B1026" s="111" t="s">
        <v>8367</v>
      </c>
      <c r="C1026" s="111" t="s">
        <v>8368</v>
      </c>
      <c r="D1026" s="121" t="s">
        <v>8369</v>
      </c>
      <c r="E1026" s="113">
        <v>13523075920</v>
      </c>
      <c r="F1026" s="267">
        <v>3</v>
      </c>
      <c r="G1026" s="268">
        <v>3500</v>
      </c>
      <c r="H1026" s="274">
        <v>14.84</v>
      </c>
      <c r="I1026" s="274" t="s">
        <v>2657</v>
      </c>
      <c r="J1026" s="113" t="s">
        <v>8370</v>
      </c>
      <c r="K1026" s="113">
        <v>14.41</v>
      </c>
      <c r="L1026" s="266" t="s">
        <v>2675</v>
      </c>
      <c r="M1026" s="266" t="s">
        <v>4998</v>
      </c>
      <c r="N1026" s="113" t="s">
        <v>66</v>
      </c>
      <c r="O1026" s="113"/>
      <c r="P1026" s="113"/>
      <c r="Q1026" s="113">
        <v>32773.63</v>
      </c>
      <c r="R1026" s="113">
        <v>472268</v>
      </c>
      <c r="S1026" s="121">
        <v>242268</v>
      </c>
      <c r="T1026" s="292">
        <f t="shared" si="324"/>
        <v>230000</v>
      </c>
      <c r="U1026" s="113"/>
      <c r="V1026" s="113"/>
      <c r="W1026" s="113"/>
      <c r="X1026" s="113"/>
      <c r="Y1026" s="113"/>
      <c r="Z1026" s="113"/>
      <c r="AA1026" s="113"/>
      <c r="AB1026" s="113"/>
      <c r="AC1026" s="294"/>
      <c r="AD1026" s="115"/>
      <c r="AE1026" s="115"/>
      <c r="AF1026" s="115"/>
      <c r="AG1026" s="115"/>
      <c r="AH1026" s="115"/>
      <c r="AI1026" s="132">
        <f t="shared" si="327"/>
        <v>242268</v>
      </c>
      <c r="AJ1026" s="132">
        <f t="shared" si="328"/>
        <v>242268</v>
      </c>
      <c r="AK1026" s="133">
        <f t="shared" si="323"/>
        <v>0</v>
      </c>
      <c r="AL1026" s="115"/>
      <c r="AM1026" s="115" t="s">
        <v>974</v>
      </c>
      <c r="AN1026" s="246">
        <v>44866</v>
      </c>
      <c r="AO1026" s="137"/>
      <c r="AP1026" s="97"/>
      <c r="AQ1026" s="97"/>
      <c r="AR1026" s="97"/>
      <c r="AS1026" s="97"/>
      <c r="AT1026" s="97"/>
      <c r="AU1026" s="97"/>
      <c r="AV1026" s="97"/>
      <c r="AW1026" s="97"/>
      <c r="AX1026" s="97"/>
      <c r="AY1026" s="97"/>
      <c r="AZ1026" s="97"/>
      <c r="BA1026" s="97"/>
      <c r="BB1026" s="97"/>
      <c r="BC1026" s="97"/>
      <c r="BD1026" s="97"/>
      <c r="BE1026" s="97"/>
    </row>
    <row r="1027" s="254" customFormat="1" customHeight="1" spans="1:41">
      <c r="A1027" s="337" t="s">
        <v>8371</v>
      </c>
      <c r="B1027" s="111" t="s">
        <v>8372</v>
      </c>
      <c r="C1027" s="111" t="s">
        <v>8373</v>
      </c>
      <c r="D1027" s="113" t="s">
        <v>8374</v>
      </c>
      <c r="E1027" s="113">
        <v>13838621536</v>
      </c>
      <c r="F1027" s="267">
        <v>1</v>
      </c>
      <c r="G1027" s="268">
        <v>1570</v>
      </c>
      <c r="H1027" s="274">
        <v>24.91</v>
      </c>
      <c r="I1027" s="274" t="s">
        <v>2657</v>
      </c>
      <c r="J1027" s="113" t="s">
        <v>8375</v>
      </c>
      <c r="K1027" s="116">
        <v>27.06</v>
      </c>
      <c r="L1027" s="266" t="s">
        <v>2785</v>
      </c>
      <c r="M1027" s="266" t="s">
        <v>2875</v>
      </c>
      <c r="N1027" s="113" t="s">
        <v>66</v>
      </c>
      <c r="O1027" s="113"/>
      <c r="P1027" s="113"/>
      <c r="Q1027" s="113">
        <v>45500</v>
      </c>
      <c r="R1027" s="113">
        <v>1231230</v>
      </c>
      <c r="S1027" s="121">
        <v>621230</v>
      </c>
      <c r="T1027" s="292">
        <f t="shared" si="324"/>
        <v>610000</v>
      </c>
      <c r="U1027" s="113"/>
      <c r="V1027" s="113"/>
      <c r="W1027" s="113"/>
      <c r="X1027" s="113"/>
      <c r="Y1027" s="113"/>
      <c r="Z1027" s="113"/>
      <c r="AA1027" s="113"/>
      <c r="AB1027" s="113"/>
      <c r="AC1027" s="294"/>
      <c r="AD1027" s="115"/>
      <c r="AE1027" s="115"/>
      <c r="AF1027" s="115"/>
      <c r="AG1027" s="115"/>
      <c r="AH1027" s="115"/>
      <c r="AI1027" s="132">
        <f t="shared" si="327"/>
        <v>621230</v>
      </c>
      <c r="AJ1027" s="341"/>
      <c r="AK1027" s="133">
        <f t="shared" si="323"/>
        <v>621230</v>
      </c>
      <c r="AL1027" s="337" t="s">
        <v>7365</v>
      </c>
      <c r="AM1027" s="115" t="s">
        <v>974</v>
      </c>
      <c r="AN1027" s="246">
        <v>44866</v>
      </c>
      <c r="AO1027" s="137"/>
    </row>
    <row r="1028" s="254" customFormat="1" customHeight="1" spans="1:41">
      <c r="A1028" s="115" t="s">
        <v>8376</v>
      </c>
      <c r="B1028" s="296" t="s">
        <v>8377</v>
      </c>
      <c r="C1028" s="556" t="s">
        <v>8378</v>
      </c>
      <c r="D1028" s="267" t="s">
        <v>8379</v>
      </c>
      <c r="E1028" s="267">
        <v>13802925676</v>
      </c>
      <c r="F1028" s="267">
        <v>3</v>
      </c>
      <c r="G1028" s="268">
        <v>3149</v>
      </c>
      <c r="H1028" s="274">
        <v>34.23</v>
      </c>
      <c r="I1028" s="274" t="s">
        <v>2665</v>
      </c>
      <c r="J1028" s="267" t="s">
        <v>8380</v>
      </c>
      <c r="K1028" s="274">
        <v>34.23</v>
      </c>
      <c r="L1028" s="268" t="s">
        <v>8381</v>
      </c>
      <c r="M1028" s="268" t="s">
        <v>7160</v>
      </c>
      <c r="N1028" s="267" t="s">
        <v>56</v>
      </c>
      <c r="O1028" s="267"/>
      <c r="P1028" s="267"/>
      <c r="Q1028" s="274">
        <v>24659.92</v>
      </c>
      <c r="R1028" s="267">
        <v>844109</v>
      </c>
      <c r="S1028" s="292">
        <v>844109</v>
      </c>
      <c r="T1028" s="292">
        <f t="shared" si="324"/>
        <v>0</v>
      </c>
      <c r="U1028" s="267"/>
      <c r="V1028" s="267">
        <v>2224</v>
      </c>
      <c r="W1028" s="267">
        <v>550</v>
      </c>
      <c r="X1028" s="267"/>
      <c r="Y1028" s="267" t="s">
        <v>2669</v>
      </c>
      <c r="Z1028" s="267" t="s">
        <v>48</v>
      </c>
      <c r="AA1028" s="304">
        <v>44033</v>
      </c>
      <c r="AB1028" s="267"/>
      <c r="AC1028" s="294"/>
      <c r="AD1028" s="115"/>
      <c r="AE1028" s="115"/>
      <c r="AF1028" s="115"/>
      <c r="AG1028" s="115"/>
      <c r="AH1028" s="115"/>
      <c r="AI1028" s="132">
        <f t="shared" si="327"/>
        <v>846883</v>
      </c>
      <c r="AJ1028" s="132">
        <f>S1028+U1028+V1028+W1028+X1028</f>
        <v>846883</v>
      </c>
      <c r="AK1028" s="133">
        <f t="shared" si="323"/>
        <v>0</v>
      </c>
      <c r="AL1028" s="115"/>
      <c r="AM1028" s="115" t="s">
        <v>974</v>
      </c>
      <c r="AN1028" s="246">
        <v>44866</v>
      </c>
      <c r="AO1028" s="137"/>
    </row>
    <row r="1029" s="254" customFormat="1" customHeight="1" spans="1:57">
      <c r="A1029" s="115" t="s">
        <v>8382</v>
      </c>
      <c r="B1029" s="111" t="s">
        <v>8383</v>
      </c>
      <c r="C1029" s="111" t="s">
        <v>8384</v>
      </c>
      <c r="D1029" s="113" t="s">
        <v>8385</v>
      </c>
      <c r="E1029" s="113">
        <v>13213397669</v>
      </c>
      <c r="F1029" s="267">
        <v>1</v>
      </c>
      <c r="G1029" s="268">
        <v>1750</v>
      </c>
      <c r="H1029" s="274">
        <v>16.5</v>
      </c>
      <c r="I1029" s="274" t="s">
        <v>2657</v>
      </c>
      <c r="J1029" s="266" t="s">
        <v>8386</v>
      </c>
      <c r="K1029" s="266">
        <v>18.47</v>
      </c>
      <c r="L1029" s="266" t="s">
        <v>2920</v>
      </c>
      <c r="M1029" s="266" t="s">
        <v>3558</v>
      </c>
      <c r="N1029" s="113" t="s">
        <v>66</v>
      </c>
      <c r="O1029" s="113"/>
      <c r="P1029" s="113"/>
      <c r="Q1029" s="113">
        <v>47961.34</v>
      </c>
      <c r="R1029" s="113">
        <v>885846</v>
      </c>
      <c r="S1029" s="121">
        <v>445846</v>
      </c>
      <c r="T1029" s="292">
        <f t="shared" si="324"/>
        <v>440000</v>
      </c>
      <c r="U1029" s="113"/>
      <c r="V1029" s="113"/>
      <c r="W1029" s="113"/>
      <c r="X1029" s="113"/>
      <c r="Y1029" s="113"/>
      <c r="Z1029" s="113"/>
      <c r="AA1029" s="113"/>
      <c r="AB1029" s="113"/>
      <c r="AC1029" s="294"/>
      <c r="AD1029" s="115"/>
      <c r="AE1029" s="115"/>
      <c r="AF1029" s="115"/>
      <c r="AG1029" s="115"/>
      <c r="AH1029" s="115"/>
      <c r="AI1029" s="132">
        <f t="shared" ref="AI1029:AI1042" si="329">S1029+U1029+V1029+W1029+X1029+AC1029+AD1029+AE1029</f>
        <v>445846</v>
      </c>
      <c r="AJ1029" s="132">
        <f t="shared" ref="AJ1029:AJ1042" si="330">S1029+U1029+V1029+W1029+X1029</f>
        <v>445846</v>
      </c>
      <c r="AK1029" s="133">
        <f t="shared" ref="AK1029:AK1042" si="331">AI1029-AJ1029</f>
        <v>0</v>
      </c>
      <c r="AL1029" s="115"/>
      <c r="AM1029" s="115" t="s">
        <v>974</v>
      </c>
      <c r="AN1029" s="246">
        <v>44867</v>
      </c>
      <c r="AO1029" s="137"/>
      <c r="AP1029" s="97"/>
      <c r="AQ1029" s="97"/>
      <c r="AR1029" s="97"/>
      <c r="AS1029" s="97"/>
      <c r="AT1029" s="97"/>
      <c r="AU1029" s="97"/>
      <c r="AV1029" s="97"/>
      <c r="AW1029" s="97"/>
      <c r="AX1029" s="97"/>
      <c r="AY1029" s="97"/>
      <c r="AZ1029" s="97"/>
      <c r="BA1029" s="97"/>
      <c r="BB1029" s="97"/>
      <c r="BC1029" s="97"/>
      <c r="BD1029" s="97"/>
      <c r="BE1029" s="97"/>
    </row>
    <row r="1030" s="254" customFormat="1" customHeight="1" spans="1:41">
      <c r="A1030" s="115" t="s">
        <v>8387</v>
      </c>
      <c r="B1030" s="111" t="s">
        <v>8388</v>
      </c>
      <c r="C1030" s="111" t="s">
        <v>8389</v>
      </c>
      <c r="D1030" s="121" t="s">
        <v>8390</v>
      </c>
      <c r="E1030" s="113" t="s">
        <v>8391</v>
      </c>
      <c r="F1030" s="267">
        <v>3</v>
      </c>
      <c r="G1030" s="268">
        <v>3170</v>
      </c>
      <c r="H1030" s="274">
        <v>23.21</v>
      </c>
      <c r="I1030" s="274" t="s">
        <v>2657</v>
      </c>
      <c r="J1030" s="113" t="s">
        <v>8392</v>
      </c>
      <c r="K1030" s="116">
        <v>23.08</v>
      </c>
      <c r="L1030" s="266" t="s">
        <v>2718</v>
      </c>
      <c r="M1030" s="266"/>
      <c r="N1030" s="113" t="s">
        <v>66</v>
      </c>
      <c r="O1030" s="113"/>
      <c r="P1030" s="113"/>
      <c r="Q1030" s="113"/>
      <c r="R1030" s="113"/>
      <c r="S1030" s="121">
        <v>40000</v>
      </c>
      <c r="T1030" s="292">
        <f t="shared" si="324"/>
        <v>-40000</v>
      </c>
      <c r="U1030" s="113"/>
      <c r="V1030" s="113"/>
      <c r="W1030" s="113"/>
      <c r="X1030" s="113"/>
      <c r="Y1030" s="113"/>
      <c r="Z1030" s="113"/>
      <c r="AA1030" s="113"/>
      <c r="AB1030" s="113"/>
      <c r="AC1030" s="294"/>
      <c r="AD1030" s="115"/>
      <c r="AE1030" s="115"/>
      <c r="AF1030" s="115"/>
      <c r="AG1030" s="115"/>
      <c r="AH1030" s="115"/>
      <c r="AI1030" s="132">
        <f t="shared" si="329"/>
        <v>40000</v>
      </c>
      <c r="AJ1030" s="132">
        <f t="shared" si="330"/>
        <v>40000</v>
      </c>
      <c r="AK1030" s="133">
        <f t="shared" si="331"/>
        <v>0</v>
      </c>
      <c r="AL1030" s="115"/>
      <c r="AM1030" s="115" t="s">
        <v>974</v>
      </c>
      <c r="AN1030" s="246">
        <v>44867</v>
      </c>
      <c r="AO1030" s="137"/>
    </row>
    <row r="1031" s="254" customFormat="1" customHeight="1" spans="1:41">
      <c r="A1031" s="115" t="s">
        <v>8393</v>
      </c>
      <c r="B1031" s="111" t="s">
        <v>8394</v>
      </c>
      <c r="C1031" s="111" t="s">
        <v>8395</v>
      </c>
      <c r="D1031" s="113"/>
      <c r="E1031" s="113">
        <v>18625512988</v>
      </c>
      <c r="F1031" s="267">
        <v>1</v>
      </c>
      <c r="G1031" s="268">
        <v>1803</v>
      </c>
      <c r="H1031" s="274">
        <v>29.65</v>
      </c>
      <c r="I1031" s="274" t="s">
        <v>2657</v>
      </c>
      <c r="J1031" s="113" t="s">
        <v>8396</v>
      </c>
      <c r="K1031" s="113">
        <v>28.39</v>
      </c>
      <c r="L1031" s="266" t="s">
        <v>5825</v>
      </c>
      <c r="M1031" s="113"/>
      <c r="N1031" s="113" t="s">
        <v>66</v>
      </c>
      <c r="O1031" s="113"/>
      <c r="P1031" s="113"/>
      <c r="Q1031" s="113"/>
      <c r="R1031" s="113"/>
      <c r="S1031" s="121">
        <v>20000</v>
      </c>
      <c r="T1031" s="292">
        <f t="shared" si="324"/>
        <v>-20000</v>
      </c>
      <c r="U1031" s="113"/>
      <c r="V1031" s="113"/>
      <c r="W1031" s="113"/>
      <c r="X1031" s="113"/>
      <c r="Y1031" s="113"/>
      <c r="Z1031" s="113"/>
      <c r="AA1031" s="113"/>
      <c r="AB1031" s="113"/>
      <c r="AC1031" s="294"/>
      <c r="AD1031" s="115"/>
      <c r="AE1031" s="115"/>
      <c r="AF1031" s="115"/>
      <c r="AG1031" s="115"/>
      <c r="AH1031" s="115"/>
      <c r="AI1031" s="132">
        <f t="shared" si="329"/>
        <v>20000</v>
      </c>
      <c r="AJ1031" s="132">
        <f t="shared" si="330"/>
        <v>20000</v>
      </c>
      <c r="AK1031" s="133">
        <f t="shared" si="331"/>
        <v>0</v>
      </c>
      <c r="AL1031" s="115"/>
      <c r="AM1031" s="115" t="s">
        <v>974</v>
      </c>
      <c r="AN1031" s="246">
        <v>44867</v>
      </c>
      <c r="AO1031" s="137"/>
    </row>
    <row r="1032" s="254" customFormat="1" customHeight="1" spans="1:41">
      <c r="A1032" s="115" t="s">
        <v>8397</v>
      </c>
      <c r="B1032" s="111" t="s">
        <v>8394</v>
      </c>
      <c r="C1032" s="111" t="s">
        <v>8395</v>
      </c>
      <c r="D1032" s="113"/>
      <c r="E1032" s="113">
        <v>18625512988</v>
      </c>
      <c r="F1032" s="267">
        <v>1</v>
      </c>
      <c r="G1032" s="268">
        <v>1804</v>
      </c>
      <c r="H1032" s="274">
        <v>27.43</v>
      </c>
      <c r="I1032" s="274" t="s">
        <v>2657</v>
      </c>
      <c r="J1032" s="113" t="s">
        <v>8398</v>
      </c>
      <c r="K1032" s="113">
        <v>31.93</v>
      </c>
      <c r="L1032" s="266" t="s">
        <v>5825</v>
      </c>
      <c r="M1032" s="113"/>
      <c r="N1032" s="113" t="s">
        <v>66</v>
      </c>
      <c r="O1032" s="113"/>
      <c r="P1032" s="113"/>
      <c r="Q1032" s="113"/>
      <c r="R1032" s="113"/>
      <c r="S1032" s="121">
        <v>20000</v>
      </c>
      <c r="T1032" s="292">
        <f t="shared" si="324"/>
        <v>-20000</v>
      </c>
      <c r="U1032" s="113"/>
      <c r="V1032" s="113"/>
      <c r="W1032" s="113"/>
      <c r="X1032" s="113"/>
      <c r="Y1032" s="113"/>
      <c r="Z1032" s="113"/>
      <c r="AA1032" s="113"/>
      <c r="AB1032" s="113"/>
      <c r="AC1032" s="294"/>
      <c r="AD1032" s="115"/>
      <c r="AE1032" s="115"/>
      <c r="AF1032" s="115"/>
      <c r="AG1032" s="115"/>
      <c r="AH1032" s="115"/>
      <c r="AI1032" s="132">
        <f t="shared" si="329"/>
        <v>20000</v>
      </c>
      <c r="AJ1032" s="132">
        <f t="shared" si="330"/>
        <v>20000</v>
      </c>
      <c r="AK1032" s="133">
        <f t="shared" si="331"/>
        <v>0</v>
      </c>
      <c r="AL1032" s="115"/>
      <c r="AM1032" s="115" t="s">
        <v>974</v>
      </c>
      <c r="AN1032" s="246">
        <v>44867</v>
      </c>
      <c r="AO1032" s="137"/>
    </row>
    <row r="1033" customHeight="1" spans="1:57">
      <c r="A1033" s="97" t="s">
        <v>8399</v>
      </c>
      <c r="B1033" s="356" t="s">
        <v>8400</v>
      </c>
      <c r="C1033" s="356" t="s">
        <v>8401</v>
      </c>
      <c r="D1033" s="357" t="s">
        <v>8402</v>
      </c>
      <c r="E1033" s="357" t="s">
        <v>8403</v>
      </c>
      <c r="F1033" s="358">
        <v>3</v>
      </c>
      <c r="G1033" s="359">
        <v>378</v>
      </c>
      <c r="H1033" s="360">
        <v>23</v>
      </c>
      <c r="I1033" s="360" t="s">
        <v>2665</v>
      </c>
      <c r="J1033" s="363" t="s">
        <v>8404</v>
      </c>
      <c r="K1033" s="364">
        <v>23.1</v>
      </c>
      <c r="L1033" s="357" t="s">
        <v>5057</v>
      </c>
      <c r="M1033" s="357" t="s">
        <v>4239</v>
      </c>
      <c r="N1033" s="357" t="s">
        <v>56</v>
      </c>
      <c r="O1033" s="357"/>
      <c r="P1033" s="357"/>
      <c r="Q1033" s="364">
        <v>30653.72</v>
      </c>
      <c r="R1033" s="362">
        <v>705036</v>
      </c>
      <c r="S1033" s="362">
        <v>705036</v>
      </c>
      <c r="T1033" s="365">
        <f t="shared" si="324"/>
        <v>0</v>
      </c>
      <c r="U1033" s="363"/>
      <c r="V1033" s="363">
        <v>1495</v>
      </c>
      <c r="W1033" s="363">
        <v>550</v>
      </c>
      <c r="X1033" s="363">
        <v>1020</v>
      </c>
      <c r="Y1033" s="363" t="s">
        <v>2669</v>
      </c>
      <c r="Z1033" s="358" t="s">
        <v>48</v>
      </c>
      <c r="AA1033" s="366">
        <v>44053</v>
      </c>
      <c r="AB1033" s="357"/>
      <c r="AC1033" s="367"/>
      <c r="AD1033" s="97"/>
      <c r="AE1033" s="97"/>
      <c r="AF1033" s="97"/>
      <c r="AG1033" s="97"/>
      <c r="AH1033" s="97"/>
      <c r="AI1033" s="132">
        <f t="shared" si="329"/>
        <v>708101</v>
      </c>
      <c r="AJ1033" s="132">
        <f t="shared" si="330"/>
        <v>708101</v>
      </c>
      <c r="AK1033" s="133">
        <f t="shared" si="331"/>
        <v>0</v>
      </c>
      <c r="AL1033" s="368" t="s">
        <v>8405</v>
      </c>
      <c r="AM1033" s="115" t="s">
        <v>974</v>
      </c>
      <c r="AN1033" s="246">
        <v>44867</v>
      </c>
      <c r="AO1033" s="137"/>
      <c r="AP1033" s="254"/>
      <c r="AQ1033" s="254"/>
      <c r="AR1033" s="254"/>
      <c r="AS1033" s="254"/>
      <c r="AT1033" s="254"/>
      <c r="AU1033" s="254"/>
      <c r="AV1033" s="254"/>
      <c r="AW1033" s="254"/>
      <c r="AX1033" s="254"/>
      <c r="AY1033" s="254"/>
      <c r="AZ1033" s="254"/>
      <c r="BA1033" s="254"/>
      <c r="BB1033" s="254"/>
      <c r="BC1033" s="254"/>
      <c r="BD1033" s="254"/>
      <c r="BE1033" s="254"/>
    </row>
    <row r="1034" customHeight="1" spans="1:57">
      <c r="A1034" s="97" t="s">
        <v>8406</v>
      </c>
      <c r="B1034" s="361" t="s">
        <v>8407</v>
      </c>
      <c r="C1034" s="361" t="s">
        <v>8408</v>
      </c>
      <c r="D1034" s="362"/>
      <c r="E1034" s="363">
        <v>13592534305</v>
      </c>
      <c r="F1034" s="358">
        <v>3</v>
      </c>
      <c r="G1034" s="359">
        <v>3212</v>
      </c>
      <c r="H1034" s="360">
        <v>15.89</v>
      </c>
      <c r="I1034" s="360" t="s">
        <v>2657</v>
      </c>
      <c r="J1034" s="363" t="s">
        <v>8409</v>
      </c>
      <c r="K1034" s="364">
        <v>16.35</v>
      </c>
      <c r="L1034" s="357" t="s">
        <v>3009</v>
      </c>
      <c r="M1034" s="357" t="s">
        <v>2842</v>
      </c>
      <c r="N1034" s="363" t="s">
        <v>66</v>
      </c>
      <c r="O1034" s="363"/>
      <c r="P1034" s="363"/>
      <c r="Q1034" s="363">
        <v>32315.96</v>
      </c>
      <c r="R1034" s="363">
        <v>528366</v>
      </c>
      <c r="S1034" s="362">
        <v>268366</v>
      </c>
      <c r="T1034" s="365">
        <f t="shared" si="324"/>
        <v>260000</v>
      </c>
      <c r="U1034" s="363"/>
      <c r="V1034" s="363"/>
      <c r="W1034" s="363"/>
      <c r="X1034" s="363"/>
      <c r="Y1034" s="363"/>
      <c r="Z1034" s="363"/>
      <c r="AA1034" s="363"/>
      <c r="AB1034" s="363"/>
      <c r="AC1034" s="367"/>
      <c r="AD1034" s="97"/>
      <c r="AE1034" s="97"/>
      <c r="AF1034" s="97"/>
      <c r="AG1034" s="97"/>
      <c r="AH1034" s="97"/>
      <c r="AI1034" s="132">
        <f t="shared" si="329"/>
        <v>268366</v>
      </c>
      <c r="AJ1034" s="132">
        <f t="shared" si="330"/>
        <v>268366</v>
      </c>
      <c r="AK1034" s="133">
        <f t="shared" si="331"/>
        <v>0</v>
      </c>
      <c r="AL1034" s="368"/>
      <c r="AM1034" s="115" t="s">
        <v>974</v>
      </c>
      <c r="AN1034" s="246">
        <v>44867</v>
      </c>
      <c r="AO1034" s="137"/>
      <c r="AP1034" s="97"/>
      <c r="AQ1034" s="97"/>
      <c r="AR1034" s="97"/>
      <c r="AS1034" s="97"/>
      <c r="AT1034" s="97"/>
      <c r="AU1034" s="97"/>
      <c r="AV1034" s="97"/>
      <c r="AW1034" s="97"/>
      <c r="AX1034" s="97"/>
      <c r="AY1034" s="97"/>
      <c r="AZ1034" s="97"/>
      <c r="BA1034" s="97"/>
      <c r="BB1034" s="97"/>
      <c r="BC1034" s="97"/>
      <c r="BD1034" s="97"/>
      <c r="BE1034" s="97"/>
    </row>
    <row r="1035" s="97" customFormat="1" customHeight="1" spans="1:41">
      <c r="A1035" s="115" t="s">
        <v>8410</v>
      </c>
      <c r="B1035" s="296" t="s">
        <v>8411</v>
      </c>
      <c r="C1035" s="556" t="s">
        <v>8412</v>
      </c>
      <c r="D1035" s="267" t="s">
        <v>6874</v>
      </c>
      <c r="E1035" s="267">
        <v>17719997771</v>
      </c>
      <c r="F1035" s="267">
        <v>1</v>
      </c>
      <c r="G1035" s="268">
        <v>129</v>
      </c>
      <c r="H1035" s="274">
        <v>81.85</v>
      </c>
      <c r="I1035" s="274" t="s">
        <v>2665</v>
      </c>
      <c r="J1035" s="267" t="s">
        <v>8413</v>
      </c>
      <c r="K1035" s="326">
        <v>65.18</v>
      </c>
      <c r="L1035" s="268" t="s">
        <v>5367</v>
      </c>
      <c r="M1035" s="268" t="s">
        <v>7047</v>
      </c>
      <c r="N1035" s="267" t="s">
        <v>56</v>
      </c>
      <c r="O1035" s="267"/>
      <c r="P1035" s="267"/>
      <c r="Q1035" s="274">
        <v>50949.52</v>
      </c>
      <c r="R1035" s="267">
        <v>3320890</v>
      </c>
      <c r="S1035" s="292">
        <v>3320890</v>
      </c>
      <c r="T1035" s="292">
        <f t="shared" si="324"/>
        <v>0</v>
      </c>
      <c r="U1035" s="267"/>
      <c r="V1035" s="267"/>
      <c r="W1035" s="267"/>
      <c r="X1035" s="267"/>
      <c r="Y1035" s="267"/>
      <c r="Z1035" s="267"/>
      <c r="AA1035" s="267"/>
      <c r="AB1035" s="267"/>
      <c r="AC1035" s="294"/>
      <c r="AD1035" s="115"/>
      <c r="AE1035" s="115"/>
      <c r="AF1035" s="115"/>
      <c r="AG1035" s="115"/>
      <c r="AH1035" s="115"/>
      <c r="AI1035" s="132">
        <f t="shared" si="329"/>
        <v>3320890</v>
      </c>
      <c r="AJ1035" s="132">
        <f t="shared" si="330"/>
        <v>3320890</v>
      </c>
      <c r="AK1035" s="133">
        <f t="shared" si="331"/>
        <v>0</v>
      </c>
      <c r="AL1035" s="155"/>
      <c r="AM1035" s="115" t="s">
        <v>974</v>
      </c>
      <c r="AN1035" s="246">
        <v>44867</v>
      </c>
      <c r="AO1035" s="137"/>
    </row>
    <row r="1036" s="97" customFormat="1" customHeight="1" spans="1:57">
      <c r="A1036" s="115" t="s">
        <v>8414</v>
      </c>
      <c r="B1036" s="111" t="s">
        <v>8415</v>
      </c>
      <c r="C1036" s="111" t="s">
        <v>8416</v>
      </c>
      <c r="D1036" s="121" t="s">
        <v>8417</v>
      </c>
      <c r="E1036" s="113">
        <v>13939088309</v>
      </c>
      <c r="F1036" s="267">
        <v>3</v>
      </c>
      <c r="G1036" s="268">
        <v>3161</v>
      </c>
      <c r="H1036" s="274">
        <v>22.95</v>
      </c>
      <c r="I1036" s="274" t="s">
        <v>2657</v>
      </c>
      <c r="J1036" s="113" t="s">
        <v>8418</v>
      </c>
      <c r="K1036" s="116">
        <v>16.91</v>
      </c>
      <c r="L1036" s="266" t="s">
        <v>4311</v>
      </c>
      <c r="M1036" s="266" t="s">
        <v>4112</v>
      </c>
      <c r="N1036" s="113" t="s">
        <v>66</v>
      </c>
      <c r="O1036" s="113"/>
      <c r="P1036" s="113"/>
      <c r="Q1036" s="113">
        <v>32006.74</v>
      </c>
      <c r="R1036" s="113">
        <v>541234</v>
      </c>
      <c r="S1036" s="121">
        <v>271234</v>
      </c>
      <c r="T1036" s="292">
        <f t="shared" si="324"/>
        <v>270000</v>
      </c>
      <c r="U1036" s="113"/>
      <c r="V1036" s="113"/>
      <c r="W1036" s="113"/>
      <c r="X1036" s="113"/>
      <c r="Y1036" s="113"/>
      <c r="Z1036" s="113"/>
      <c r="AA1036" s="113"/>
      <c r="AB1036" s="113" t="s">
        <v>8419</v>
      </c>
      <c r="AC1036" s="294"/>
      <c r="AD1036" s="115"/>
      <c r="AE1036" s="115"/>
      <c r="AF1036" s="115"/>
      <c r="AG1036" s="115"/>
      <c r="AH1036" s="115"/>
      <c r="AI1036" s="132">
        <f t="shared" si="329"/>
        <v>271234</v>
      </c>
      <c r="AJ1036" s="132">
        <f t="shared" si="330"/>
        <v>271234</v>
      </c>
      <c r="AK1036" s="133">
        <f t="shared" si="331"/>
        <v>0</v>
      </c>
      <c r="AL1036" s="155"/>
      <c r="AM1036" s="115" t="s">
        <v>974</v>
      </c>
      <c r="AN1036" s="246">
        <v>44867</v>
      </c>
      <c r="AO1036" s="137"/>
      <c r="AP1036" s="254"/>
      <c r="AQ1036" s="254"/>
      <c r="AR1036" s="254"/>
      <c r="AS1036" s="254"/>
      <c r="AT1036" s="254"/>
      <c r="AU1036" s="254"/>
      <c r="AV1036" s="254"/>
      <c r="AW1036" s="254"/>
      <c r="AX1036" s="254"/>
      <c r="AY1036" s="254"/>
      <c r="AZ1036" s="254"/>
      <c r="BA1036" s="254"/>
      <c r="BB1036" s="254"/>
      <c r="BC1036" s="254"/>
      <c r="BD1036" s="254"/>
      <c r="BE1036" s="254"/>
    </row>
    <row r="1037" s="97" customFormat="1" customHeight="1" spans="1:57">
      <c r="A1037" s="115" t="s">
        <v>8420</v>
      </c>
      <c r="B1037" s="336" t="s">
        <v>8421</v>
      </c>
      <c r="C1037" s="554" t="s">
        <v>8422</v>
      </c>
      <c r="D1037" s="113" t="s">
        <v>8423</v>
      </c>
      <c r="E1037" s="113">
        <v>13213179122</v>
      </c>
      <c r="F1037" s="267">
        <v>1</v>
      </c>
      <c r="G1037" s="268">
        <v>1789</v>
      </c>
      <c r="H1037" s="274">
        <v>15.32</v>
      </c>
      <c r="I1037" s="274" t="s">
        <v>2657</v>
      </c>
      <c r="J1037" s="113" t="s">
        <v>8424</v>
      </c>
      <c r="K1037" s="113">
        <v>16.84</v>
      </c>
      <c r="L1037" s="266" t="s">
        <v>2698</v>
      </c>
      <c r="M1037" s="266" t="s">
        <v>3162</v>
      </c>
      <c r="N1037" s="113" t="s">
        <v>66</v>
      </c>
      <c r="O1037" s="113"/>
      <c r="P1037" s="113"/>
      <c r="Q1037" s="113">
        <v>47515.14</v>
      </c>
      <c r="R1037" s="113">
        <v>800155</v>
      </c>
      <c r="S1037" s="121">
        <v>400155</v>
      </c>
      <c r="T1037" s="292">
        <f t="shared" si="324"/>
        <v>400000</v>
      </c>
      <c r="U1037" s="113"/>
      <c r="V1037" s="113"/>
      <c r="W1037" s="113"/>
      <c r="X1037" s="113"/>
      <c r="Y1037" s="113"/>
      <c r="Z1037" s="113"/>
      <c r="AA1037" s="113"/>
      <c r="AB1037" s="113"/>
      <c r="AC1037" s="294"/>
      <c r="AD1037" s="115"/>
      <c r="AE1037" s="115"/>
      <c r="AF1037" s="115"/>
      <c r="AG1037" s="115"/>
      <c r="AH1037" s="115"/>
      <c r="AI1037" s="132">
        <f t="shared" si="329"/>
        <v>400155</v>
      </c>
      <c r="AJ1037" s="132">
        <f t="shared" si="330"/>
        <v>400155</v>
      </c>
      <c r="AK1037" s="133">
        <f t="shared" si="331"/>
        <v>0</v>
      </c>
      <c r="AL1037" s="155"/>
      <c r="AM1037" s="115" t="s">
        <v>974</v>
      </c>
      <c r="AN1037" s="246">
        <v>44867</v>
      </c>
      <c r="AO1037" s="137"/>
      <c r="AP1037" s="254"/>
      <c r="AQ1037" s="254"/>
      <c r="AR1037" s="254"/>
      <c r="AS1037" s="254"/>
      <c r="AT1037" s="254"/>
      <c r="AU1037" s="254"/>
      <c r="AV1037" s="254"/>
      <c r="AW1037" s="254"/>
      <c r="AX1037" s="254"/>
      <c r="AY1037" s="254"/>
      <c r="AZ1037" s="254"/>
      <c r="BA1037" s="254"/>
      <c r="BB1037" s="254"/>
      <c r="BC1037" s="254"/>
      <c r="BD1037" s="254"/>
      <c r="BE1037" s="254"/>
    </row>
    <row r="1038" s="97" customFormat="1" customHeight="1" spans="1:57">
      <c r="A1038" s="115" t="s">
        <v>8425</v>
      </c>
      <c r="B1038" s="111" t="s">
        <v>8426</v>
      </c>
      <c r="C1038" s="111" t="s">
        <v>8427</v>
      </c>
      <c r="D1038" s="121" t="s">
        <v>8428</v>
      </c>
      <c r="E1038" s="113">
        <v>18768860029</v>
      </c>
      <c r="F1038" s="267">
        <v>3</v>
      </c>
      <c r="G1038" s="268">
        <v>3413</v>
      </c>
      <c r="H1038" s="274">
        <v>10.66</v>
      </c>
      <c r="I1038" s="274" t="s">
        <v>2657</v>
      </c>
      <c r="J1038" s="113" t="s">
        <v>8429</v>
      </c>
      <c r="K1038" s="113">
        <v>10.5</v>
      </c>
      <c r="L1038" s="266" t="s">
        <v>2834</v>
      </c>
      <c r="M1038" s="266" t="s">
        <v>3211</v>
      </c>
      <c r="N1038" s="113" t="s">
        <v>66</v>
      </c>
      <c r="O1038" s="113"/>
      <c r="P1038" s="113"/>
      <c r="Q1038" s="113">
        <v>33014.57</v>
      </c>
      <c r="R1038" s="113">
        <v>351935</v>
      </c>
      <c r="S1038" s="121">
        <v>181935</v>
      </c>
      <c r="T1038" s="121"/>
      <c r="U1038" s="113">
        <v>170000</v>
      </c>
      <c r="V1038" s="113">
        <v>692</v>
      </c>
      <c r="W1038" s="113">
        <v>550</v>
      </c>
      <c r="X1038" s="113"/>
      <c r="Y1038" s="113" t="s">
        <v>2669</v>
      </c>
      <c r="Z1038" s="113" t="s">
        <v>48</v>
      </c>
      <c r="AA1038" s="304">
        <v>44022</v>
      </c>
      <c r="AB1038" s="113"/>
      <c r="AC1038" s="294"/>
      <c r="AD1038" s="115"/>
      <c r="AE1038" s="115"/>
      <c r="AF1038" s="115"/>
      <c r="AG1038" s="115"/>
      <c r="AH1038" s="115"/>
      <c r="AI1038" s="132">
        <f t="shared" si="329"/>
        <v>353177</v>
      </c>
      <c r="AJ1038" s="132">
        <f t="shared" si="330"/>
        <v>353177</v>
      </c>
      <c r="AK1038" s="133">
        <f t="shared" si="331"/>
        <v>0</v>
      </c>
      <c r="AL1038" s="155"/>
      <c r="AM1038" s="115" t="s">
        <v>974</v>
      </c>
      <c r="AN1038" s="246">
        <v>44867</v>
      </c>
      <c r="AO1038" s="137"/>
      <c r="AP1038" s="254"/>
      <c r="AQ1038" s="254"/>
      <c r="AR1038" s="254"/>
      <c r="AS1038" s="254"/>
      <c r="AT1038" s="254"/>
      <c r="AU1038" s="254"/>
      <c r="AV1038" s="254"/>
      <c r="AW1038" s="254"/>
      <c r="AX1038" s="254"/>
      <c r="AY1038" s="254"/>
      <c r="AZ1038" s="254"/>
      <c r="BA1038" s="254"/>
      <c r="BB1038" s="254"/>
      <c r="BC1038" s="254"/>
      <c r="BD1038" s="254"/>
      <c r="BE1038" s="254"/>
    </row>
    <row r="1039" s="97" customFormat="1" customHeight="1" spans="1:41">
      <c r="A1039" s="115" t="s">
        <v>8430</v>
      </c>
      <c r="B1039" s="111" t="s">
        <v>8431</v>
      </c>
      <c r="C1039" s="554" t="s">
        <v>8432</v>
      </c>
      <c r="D1039" s="113" t="s">
        <v>8433</v>
      </c>
      <c r="E1039" s="113">
        <v>15136321637</v>
      </c>
      <c r="F1039" s="267">
        <v>1</v>
      </c>
      <c r="G1039" s="268">
        <v>1103</v>
      </c>
      <c r="H1039" s="274">
        <v>25.04</v>
      </c>
      <c r="I1039" s="274" t="s">
        <v>2657</v>
      </c>
      <c r="J1039" s="113" t="s">
        <v>8434</v>
      </c>
      <c r="K1039" s="116">
        <v>25.83</v>
      </c>
      <c r="L1039" s="266" t="s">
        <v>3988</v>
      </c>
      <c r="M1039" s="266" t="s">
        <v>3577</v>
      </c>
      <c r="N1039" s="113" t="s">
        <v>66</v>
      </c>
      <c r="O1039" s="113"/>
      <c r="P1039" s="113"/>
      <c r="Q1039" s="113">
        <v>47267.25</v>
      </c>
      <c r="R1039" s="113">
        <v>1220913</v>
      </c>
      <c r="S1039" s="121">
        <v>610913</v>
      </c>
      <c r="T1039" s="292">
        <f t="shared" ref="T1039:T1055" si="332">R1039-S1039</f>
        <v>610000</v>
      </c>
      <c r="U1039" s="113"/>
      <c r="V1039" s="113"/>
      <c r="W1039" s="113"/>
      <c r="X1039" s="113"/>
      <c r="Y1039" s="113"/>
      <c r="Z1039" s="113"/>
      <c r="AA1039" s="113"/>
      <c r="AB1039" s="113"/>
      <c r="AC1039" s="246"/>
      <c r="AD1039" s="115"/>
      <c r="AE1039" s="115"/>
      <c r="AF1039" s="115"/>
      <c r="AG1039" s="115"/>
      <c r="AH1039" s="115"/>
      <c r="AI1039" s="132">
        <f t="shared" si="329"/>
        <v>610913</v>
      </c>
      <c r="AJ1039" s="132">
        <f t="shared" si="330"/>
        <v>610913</v>
      </c>
      <c r="AK1039" s="133">
        <f t="shared" si="331"/>
        <v>0</v>
      </c>
      <c r="AL1039" s="155"/>
      <c r="AM1039" s="115" t="s">
        <v>974</v>
      </c>
      <c r="AN1039" s="246">
        <v>44867</v>
      </c>
      <c r="AO1039" s="137"/>
    </row>
    <row r="1040" s="97" customFormat="1" customHeight="1" spans="1:57">
      <c r="A1040" s="115" t="s">
        <v>8435</v>
      </c>
      <c r="B1040" s="111" t="s">
        <v>8431</v>
      </c>
      <c r="C1040" s="554" t="s">
        <v>8432</v>
      </c>
      <c r="D1040" s="113" t="s">
        <v>8436</v>
      </c>
      <c r="E1040" s="113">
        <v>15136321637</v>
      </c>
      <c r="F1040" s="267">
        <v>1</v>
      </c>
      <c r="G1040" s="268">
        <v>1104</v>
      </c>
      <c r="H1040" s="274">
        <v>25.04</v>
      </c>
      <c r="I1040" s="274" t="s">
        <v>2657</v>
      </c>
      <c r="J1040" s="113" t="s">
        <v>8437</v>
      </c>
      <c r="K1040" s="116">
        <v>26.57</v>
      </c>
      <c r="L1040" s="266" t="s">
        <v>3988</v>
      </c>
      <c r="M1040" s="266" t="s">
        <v>3577</v>
      </c>
      <c r="N1040" s="113" t="s">
        <v>66</v>
      </c>
      <c r="O1040" s="113"/>
      <c r="P1040" s="113"/>
      <c r="Q1040" s="113">
        <v>47267.22</v>
      </c>
      <c r="R1040" s="113">
        <v>1255890</v>
      </c>
      <c r="S1040" s="121">
        <v>635890</v>
      </c>
      <c r="T1040" s="292">
        <f t="shared" si="332"/>
        <v>620000</v>
      </c>
      <c r="U1040" s="113"/>
      <c r="V1040" s="113"/>
      <c r="W1040" s="113"/>
      <c r="X1040" s="113"/>
      <c r="Y1040" s="113"/>
      <c r="Z1040" s="113"/>
      <c r="AA1040" s="113"/>
      <c r="AB1040" s="113"/>
      <c r="AC1040" s="294"/>
      <c r="AD1040" s="115"/>
      <c r="AE1040" s="115"/>
      <c r="AF1040" s="115"/>
      <c r="AG1040" s="115"/>
      <c r="AH1040" s="115"/>
      <c r="AI1040" s="132">
        <f t="shared" si="329"/>
        <v>635890</v>
      </c>
      <c r="AJ1040" s="132">
        <f t="shared" si="330"/>
        <v>635890</v>
      </c>
      <c r="AK1040" s="133">
        <f t="shared" si="331"/>
        <v>0</v>
      </c>
      <c r="AL1040" s="155"/>
      <c r="AM1040" s="115" t="s">
        <v>974</v>
      </c>
      <c r="AN1040" s="246">
        <v>44867</v>
      </c>
      <c r="AO1040" s="137"/>
      <c r="AP1040" s="254"/>
      <c r="AQ1040" s="254"/>
      <c r="AR1040" s="254"/>
      <c r="AS1040" s="254"/>
      <c r="AT1040" s="254"/>
      <c r="AU1040" s="254"/>
      <c r="AV1040" s="254"/>
      <c r="AW1040" s="254"/>
      <c r="AX1040" s="254"/>
      <c r="AY1040" s="254"/>
      <c r="AZ1040" s="254"/>
      <c r="BA1040" s="254"/>
      <c r="BB1040" s="254"/>
      <c r="BC1040" s="254"/>
      <c r="BD1040" s="254"/>
      <c r="BE1040" s="254"/>
    </row>
    <row r="1041" s="97" customFormat="1" customHeight="1" spans="1:41">
      <c r="A1041" s="115" t="s">
        <v>8438</v>
      </c>
      <c r="B1041" s="111" t="s">
        <v>8439</v>
      </c>
      <c r="C1041" s="111" t="s">
        <v>8440</v>
      </c>
      <c r="D1041" s="121" t="s">
        <v>8441</v>
      </c>
      <c r="E1041" s="113">
        <v>13140039992</v>
      </c>
      <c r="F1041" s="267">
        <v>3</v>
      </c>
      <c r="G1041" s="268">
        <v>3322</v>
      </c>
      <c r="H1041" s="274">
        <v>26.97</v>
      </c>
      <c r="I1041" s="274" t="s">
        <v>2657</v>
      </c>
      <c r="J1041" s="113" t="s">
        <v>8442</v>
      </c>
      <c r="K1041" s="116">
        <v>22.17</v>
      </c>
      <c r="L1041" s="266" t="s">
        <v>4175</v>
      </c>
      <c r="M1041" s="266" t="s">
        <v>4175</v>
      </c>
      <c r="N1041" s="113" t="s">
        <v>66</v>
      </c>
      <c r="O1041" s="113"/>
      <c r="P1041" s="113"/>
      <c r="Q1041" s="113">
        <v>31689.26</v>
      </c>
      <c r="R1041" s="113">
        <v>702551</v>
      </c>
      <c r="S1041" s="121">
        <v>352551</v>
      </c>
      <c r="T1041" s="292">
        <f t="shared" si="332"/>
        <v>350000</v>
      </c>
      <c r="U1041" s="113"/>
      <c r="V1041" s="113"/>
      <c r="W1041" s="113"/>
      <c r="X1041" s="113"/>
      <c r="Y1041" s="113"/>
      <c r="Z1041" s="113"/>
      <c r="AA1041" s="113"/>
      <c r="AB1041" s="113"/>
      <c r="AC1041" s="294"/>
      <c r="AD1041" s="115"/>
      <c r="AE1041" s="115"/>
      <c r="AF1041" s="115"/>
      <c r="AG1041" s="115"/>
      <c r="AH1041" s="115"/>
      <c r="AI1041" s="132">
        <f t="shared" si="329"/>
        <v>352551</v>
      </c>
      <c r="AJ1041" s="132">
        <f t="shared" si="330"/>
        <v>352551</v>
      </c>
      <c r="AK1041" s="133">
        <f t="shared" si="331"/>
        <v>0</v>
      </c>
      <c r="AL1041" s="155"/>
      <c r="AM1041" s="115" t="s">
        <v>974</v>
      </c>
      <c r="AN1041" s="246">
        <v>44867</v>
      </c>
      <c r="AO1041" s="137"/>
    </row>
    <row r="1042" s="97" customFormat="1" customHeight="1" spans="1:41">
      <c r="A1042" s="115" t="s">
        <v>8443</v>
      </c>
      <c r="B1042" s="111" t="s">
        <v>8444</v>
      </c>
      <c r="C1042" s="111" t="s">
        <v>8445</v>
      </c>
      <c r="D1042" s="121" t="s">
        <v>8446</v>
      </c>
      <c r="E1042" s="113">
        <v>13783456207</v>
      </c>
      <c r="F1042" s="267">
        <v>3</v>
      </c>
      <c r="G1042" s="268">
        <v>3196</v>
      </c>
      <c r="H1042" s="274">
        <v>20.04</v>
      </c>
      <c r="I1042" s="274" t="s">
        <v>2657</v>
      </c>
      <c r="J1042" s="113" t="s">
        <v>8447</v>
      </c>
      <c r="K1042" s="116">
        <v>19.23</v>
      </c>
      <c r="L1042" s="266" t="s">
        <v>3911</v>
      </c>
      <c r="M1042" s="266" t="s">
        <v>2746</v>
      </c>
      <c r="N1042" s="113" t="s">
        <v>66</v>
      </c>
      <c r="O1042" s="113"/>
      <c r="P1042" s="113"/>
      <c r="Q1042" s="113">
        <v>31468.07</v>
      </c>
      <c r="R1042" s="113">
        <v>605131</v>
      </c>
      <c r="S1042" s="121">
        <v>305131</v>
      </c>
      <c r="T1042" s="292">
        <f t="shared" si="332"/>
        <v>300000</v>
      </c>
      <c r="U1042" s="113"/>
      <c r="V1042" s="113"/>
      <c r="W1042" s="113"/>
      <c r="X1042" s="113"/>
      <c r="Y1042" s="113"/>
      <c r="Z1042" s="113"/>
      <c r="AA1042" s="113"/>
      <c r="AB1042" s="113"/>
      <c r="AC1042" s="294"/>
      <c r="AD1042" s="115"/>
      <c r="AE1042" s="115"/>
      <c r="AF1042" s="115"/>
      <c r="AG1042" s="115"/>
      <c r="AH1042" s="115"/>
      <c r="AI1042" s="132">
        <f t="shared" si="329"/>
        <v>305131</v>
      </c>
      <c r="AJ1042" s="132">
        <f t="shared" si="330"/>
        <v>305131</v>
      </c>
      <c r="AK1042" s="133">
        <f t="shared" si="331"/>
        <v>0</v>
      </c>
      <c r="AL1042" s="155"/>
      <c r="AM1042" s="115" t="s">
        <v>974</v>
      </c>
      <c r="AN1042" s="246">
        <v>44867</v>
      </c>
      <c r="AO1042" s="137"/>
    </row>
    <row r="1043" s="97" customFormat="1" customHeight="1" spans="1:41">
      <c r="A1043" s="115" t="s">
        <v>8448</v>
      </c>
      <c r="B1043" s="336" t="s">
        <v>8449</v>
      </c>
      <c r="C1043" s="111" t="s">
        <v>8450</v>
      </c>
      <c r="D1043" s="121" t="s">
        <v>8451</v>
      </c>
      <c r="E1043" s="113">
        <v>15238008933</v>
      </c>
      <c r="F1043" s="267">
        <v>3</v>
      </c>
      <c r="G1043" s="268">
        <v>3244</v>
      </c>
      <c r="H1043" s="274">
        <v>23.64</v>
      </c>
      <c r="I1043" s="274" t="s">
        <v>2657</v>
      </c>
      <c r="J1043" s="113" t="s">
        <v>8452</v>
      </c>
      <c r="K1043" s="116">
        <v>20.6</v>
      </c>
      <c r="L1043" s="266" t="s">
        <v>4541</v>
      </c>
      <c r="M1043" s="266" t="s">
        <v>3976</v>
      </c>
      <c r="N1043" s="113" t="s">
        <v>66</v>
      </c>
      <c r="O1043" s="113"/>
      <c r="P1043" s="113"/>
      <c r="Q1043" s="113">
        <v>31306.12</v>
      </c>
      <c r="R1043" s="113">
        <v>644906</v>
      </c>
      <c r="S1043" s="121">
        <v>324906</v>
      </c>
      <c r="T1043" s="292">
        <f t="shared" si="332"/>
        <v>320000</v>
      </c>
      <c r="U1043" s="113"/>
      <c r="V1043" s="113"/>
      <c r="W1043" s="113"/>
      <c r="X1043" s="113"/>
      <c r="Y1043" s="113"/>
      <c r="Z1043" s="113"/>
      <c r="AA1043" s="113"/>
      <c r="AB1043" s="113"/>
      <c r="AC1043" s="246"/>
      <c r="AD1043" s="115"/>
      <c r="AE1043" s="115"/>
      <c r="AF1043" s="115"/>
      <c r="AG1043" s="115"/>
      <c r="AH1043" s="115"/>
      <c r="AI1043" s="132">
        <f t="shared" ref="AI1043:AI1049" si="333">S1043+U1043+V1043+W1043+X1043+AC1043+AD1043+AE1043</f>
        <v>324906</v>
      </c>
      <c r="AJ1043" s="132">
        <f t="shared" ref="AJ1043:AJ1049" si="334">S1043+U1043+V1043+W1043+X1043</f>
        <v>324906</v>
      </c>
      <c r="AK1043" s="133">
        <f t="shared" ref="AK1043:AK1049" si="335">AI1043-AJ1043</f>
        <v>0</v>
      </c>
      <c r="AL1043" s="155"/>
      <c r="AM1043" s="115" t="s">
        <v>974</v>
      </c>
      <c r="AN1043" s="246">
        <v>44867</v>
      </c>
      <c r="AO1043" s="137"/>
    </row>
    <row r="1044" s="97" customFormat="1" customHeight="1" spans="1:57">
      <c r="A1044" s="115" t="s">
        <v>8453</v>
      </c>
      <c r="B1044" s="111" t="s">
        <v>8454</v>
      </c>
      <c r="C1044" s="554" t="s">
        <v>8455</v>
      </c>
      <c r="D1044" s="113" t="s">
        <v>8456</v>
      </c>
      <c r="E1044" s="111" t="s">
        <v>8457</v>
      </c>
      <c r="F1044" s="267">
        <v>4</v>
      </c>
      <c r="G1044" s="268">
        <v>4187</v>
      </c>
      <c r="H1044" s="274">
        <v>12.55</v>
      </c>
      <c r="I1044" s="274" t="s">
        <v>2657</v>
      </c>
      <c r="J1044" s="113" t="s">
        <v>8458</v>
      </c>
      <c r="K1044" s="116">
        <v>9.93</v>
      </c>
      <c r="L1044" s="266" t="s">
        <v>2691</v>
      </c>
      <c r="M1044" s="266" t="s">
        <v>2692</v>
      </c>
      <c r="N1044" s="113" t="s">
        <v>66</v>
      </c>
      <c r="O1044" s="113"/>
      <c r="P1044" s="113"/>
      <c r="Q1044" s="113">
        <v>27832.43</v>
      </c>
      <c r="R1044" s="113">
        <v>276376</v>
      </c>
      <c r="S1044" s="121">
        <v>146376</v>
      </c>
      <c r="T1044" s="292">
        <f t="shared" si="332"/>
        <v>130000</v>
      </c>
      <c r="U1044" s="113"/>
      <c r="V1044" s="113"/>
      <c r="W1044" s="113"/>
      <c r="X1044" s="113"/>
      <c r="Y1044" s="113"/>
      <c r="Z1044" s="113"/>
      <c r="AA1044" s="275"/>
      <c r="AB1044" s="113"/>
      <c r="AC1044" s="113"/>
      <c r="AD1044" s="122"/>
      <c r="AE1044" s="133"/>
      <c r="AF1044" s="115"/>
      <c r="AG1044" s="133"/>
      <c r="AH1044" s="133"/>
      <c r="AI1044" s="132">
        <f t="shared" si="333"/>
        <v>146376</v>
      </c>
      <c r="AJ1044" s="132">
        <f t="shared" si="334"/>
        <v>146376</v>
      </c>
      <c r="AK1044" s="133">
        <f t="shared" si="335"/>
        <v>0</v>
      </c>
      <c r="AL1044" s="198"/>
      <c r="AM1044" s="133" t="s">
        <v>886</v>
      </c>
      <c r="AN1044" s="246">
        <v>44888</v>
      </c>
      <c r="AO1044" s="137"/>
      <c r="AP1044" s="254"/>
      <c r="AQ1044" s="254"/>
      <c r="AR1044" s="254"/>
      <c r="AS1044" s="254"/>
      <c r="AT1044" s="254"/>
      <c r="AU1044" s="254"/>
      <c r="AV1044" s="254"/>
      <c r="AW1044" s="254"/>
      <c r="AX1044" s="254"/>
      <c r="AY1044" s="254"/>
      <c r="AZ1044" s="254"/>
      <c r="BA1044" s="254"/>
      <c r="BB1044" s="254"/>
      <c r="BC1044" s="254"/>
      <c r="BD1044" s="254"/>
      <c r="BE1044" s="254"/>
    </row>
    <row r="1045" s="97" customFormat="1" customHeight="1" spans="1:57">
      <c r="A1045" s="115" t="s">
        <v>8459</v>
      </c>
      <c r="B1045" s="336" t="s">
        <v>8460</v>
      </c>
      <c r="C1045" s="554" t="s">
        <v>8461</v>
      </c>
      <c r="D1045" s="113" t="s">
        <v>8462</v>
      </c>
      <c r="E1045" s="113">
        <v>15803907229</v>
      </c>
      <c r="F1045" s="267">
        <v>1</v>
      </c>
      <c r="G1045" s="268">
        <v>1658</v>
      </c>
      <c r="H1045" s="274">
        <v>18.8</v>
      </c>
      <c r="I1045" s="274" t="s">
        <v>2657</v>
      </c>
      <c r="J1045" s="113" t="s">
        <v>8463</v>
      </c>
      <c r="K1045" s="113">
        <v>20.17</v>
      </c>
      <c r="L1045" s="266" t="s">
        <v>2920</v>
      </c>
      <c r="M1045" s="266" t="s">
        <v>4270</v>
      </c>
      <c r="N1045" s="113" t="s">
        <v>66</v>
      </c>
      <c r="O1045" s="113"/>
      <c r="P1045" s="113"/>
      <c r="Q1045" s="113">
        <v>45860.19</v>
      </c>
      <c r="R1045" s="113">
        <v>925000</v>
      </c>
      <c r="S1045" s="121">
        <v>465000</v>
      </c>
      <c r="T1045" s="292">
        <f t="shared" si="332"/>
        <v>460000</v>
      </c>
      <c r="U1045" s="113"/>
      <c r="V1045" s="113"/>
      <c r="W1045" s="113"/>
      <c r="X1045" s="113"/>
      <c r="Y1045" s="113"/>
      <c r="Z1045" s="113"/>
      <c r="AA1045" s="113"/>
      <c r="AB1045" s="113"/>
      <c r="AC1045" s="246"/>
      <c r="AD1045" s="115"/>
      <c r="AE1045" s="115"/>
      <c r="AF1045" s="115"/>
      <c r="AG1045" s="115"/>
      <c r="AH1045" s="115"/>
      <c r="AI1045" s="132">
        <f t="shared" si="333"/>
        <v>465000</v>
      </c>
      <c r="AJ1045" s="132">
        <f t="shared" si="334"/>
        <v>465000</v>
      </c>
      <c r="AK1045" s="133">
        <f t="shared" si="335"/>
        <v>0</v>
      </c>
      <c r="AL1045" s="155"/>
      <c r="AM1045" s="115" t="s">
        <v>974</v>
      </c>
      <c r="AN1045" s="246">
        <v>44867</v>
      </c>
      <c r="AO1045" s="137"/>
      <c r="AP1045" s="254"/>
      <c r="AQ1045" s="254"/>
      <c r="AR1045" s="254"/>
      <c r="AS1045" s="254"/>
      <c r="AT1045" s="254"/>
      <c r="AU1045" s="254"/>
      <c r="AV1045" s="254"/>
      <c r="AW1045" s="254"/>
      <c r="AX1045" s="254"/>
      <c r="AY1045" s="254"/>
      <c r="AZ1045" s="254"/>
      <c r="BA1045" s="254"/>
      <c r="BB1045" s="254"/>
      <c r="BC1045" s="254"/>
      <c r="BD1045" s="254"/>
      <c r="BE1045" s="254"/>
    </row>
    <row r="1046" s="97" customFormat="1" customHeight="1" spans="1:57">
      <c r="A1046" s="337" t="s">
        <v>8464</v>
      </c>
      <c r="B1046" s="111" t="s">
        <v>8465</v>
      </c>
      <c r="C1046" s="111" t="s">
        <v>8466</v>
      </c>
      <c r="D1046" s="121" t="s">
        <v>8467</v>
      </c>
      <c r="E1046" s="113">
        <v>18538599366</v>
      </c>
      <c r="F1046" s="267">
        <v>3</v>
      </c>
      <c r="G1046" s="268">
        <v>3396</v>
      </c>
      <c r="H1046" s="274">
        <v>17.41</v>
      </c>
      <c r="I1046" s="274" t="s">
        <v>2657</v>
      </c>
      <c r="J1046" s="113" t="s">
        <v>8468</v>
      </c>
      <c r="K1046" s="113">
        <v>15.16</v>
      </c>
      <c r="L1046" s="266" t="s">
        <v>3538</v>
      </c>
      <c r="M1046" s="266" t="s">
        <v>3905</v>
      </c>
      <c r="N1046" s="113" t="s">
        <v>56</v>
      </c>
      <c r="O1046" s="113"/>
      <c r="P1046" s="113"/>
      <c r="Q1046" s="113">
        <v>31165.37</v>
      </c>
      <c r="R1046" s="113">
        <v>542589</v>
      </c>
      <c r="S1046" s="121">
        <v>542589</v>
      </c>
      <c r="T1046" s="292">
        <f t="shared" si="332"/>
        <v>0</v>
      </c>
      <c r="U1046" s="113"/>
      <c r="V1046" s="113">
        <v>1131</v>
      </c>
      <c r="W1046" s="113">
        <v>550</v>
      </c>
      <c r="X1046" s="113"/>
      <c r="Y1046" s="113" t="s">
        <v>2669</v>
      </c>
      <c r="Z1046" s="113" t="s">
        <v>48</v>
      </c>
      <c r="AA1046" s="305">
        <v>44187</v>
      </c>
      <c r="AB1046" s="113"/>
      <c r="AC1046" s="246"/>
      <c r="AD1046" s="115"/>
      <c r="AE1046" s="115"/>
      <c r="AF1046" s="115"/>
      <c r="AG1046" s="115"/>
      <c r="AH1046" s="115"/>
      <c r="AI1046" s="132">
        <f t="shared" si="333"/>
        <v>544270</v>
      </c>
      <c r="AJ1046" s="341"/>
      <c r="AK1046" s="133">
        <f t="shared" si="335"/>
        <v>544270</v>
      </c>
      <c r="AL1046" s="337" t="s">
        <v>7365</v>
      </c>
      <c r="AM1046" s="115" t="s">
        <v>974</v>
      </c>
      <c r="AN1046" s="246">
        <v>44867</v>
      </c>
      <c r="AO1046" s="137"/>
      <c r="AP1046" s="254"/>
      <c r="AQ1046" s="254"/>
      <c r="AR1046" s="254"/>
      <c r="AS1046" s="254"/>
      <c r="AT1046" s="254"/>
      <c r="AU1046" s="254"/>
      <c r="AV1046" s="254"/>
      <c r="AW1046" s="254"/>
      <c r="AX1046" s="254"/>
      <c r="AY1046" s="254"/>
      <c r="AZ1046" s="254"/>
      <c r="BA1046" s="254"/>
      <c r="BB1046" s="254"/>
      <c r="BC1046" s="254"/>
      <c r="BD1046" s="254"/>
      <c r="BE1046" s="254"/>
    </row>
    <row r="1047" s="97" customFormat="1" customHeight="1" spans="1:57">
      <c r="A1047" s="337" t="s">
        <v>8469</v>
      </c>
      <c r="B1047" s="111" t="s">
        <v>8470</v>
      </c>
      <c r="C1047" s="111" t="s">
        <v>8471</v>
      </c>
      <c r="D1047" s="121" t="s">
        <v>8472</v>
      </c>
      <c r="E1047" s="113">
        <v>13837111788</v>
      </c>
      <c r="F1047" s="267">
        <v>3</v>
      </c>
      <c r="G1047" s="268">
        <v>3397</v>
      </c>
      <c r="H1047" s="274">
        <v>16.25</v>
      </c>
      <c r="I1047" s="274" t="s">
        <v>2657</v>
      </c>
      <c r="J1047" s="113" t="s">
        <v>8473</v>
      </c>
      <c r="K1047" s="113">
        <v>12.79</v>
      </c>
      <c r="L1047" s="266" t="s">
        <v>3538</v>
      </c>
      <c r="M1047" s="266" t="s">
        <v>3905</v>
      </c>
      <c r="N1047" s="113" t="s">
        <v>56</v>
      </c>
      <c r="O1047" s="113"/>
      <c r="P1047" s="113"/>
      <c r="Q1047" s="113">
        <v>31434.48</v>
      </c>
      <c r="R1047" s="113">
        <v>510810</v>
      </c>
      <c r="S1047" s="121">
        <v>510810</v>
      </c>
      <c r="T1047" s="292">
        <f t="shared" si="332"/>
        <v>0</v>
      </c>
      <c r="U1047" s="113"/>
      <c r="V1047" s="113">
        <v>1056</v>
      </c>
      <c r="W1047" s="113">
        <v>550</v>
      </c>
      <c r="X1047" s="113"/>
      <c r="Y1047" s="113" t="s">
        <v>2669</v>
      </c>
      <c r="Z1047" s="113" t="s">
        <v>48</v>
      </c>
      <c r="AA1047" s="305">
        <v>44187</v>
      </c>
      <c r="AB1047" s="113"/>
      <c r="AC1047" s="246"/>
      <c r="AD1047" s="115"/>
      <c r="AE1047" s="115"/>
      <c r="AF1047" s="115"/>
      <c r="AG1047" s="115"/>
      <c r="AH1047" s="115"/>
      <c r="AI1047" s="132">
        <f t="shared" si="333"/>
        <v>512416</v>
      </c>
      <c r="AJ1047" s="341"/>
      <c r="AK1047" s="133">
        <f t="shared" si="335"/>
        <v>512416</v>
      </c>
      <c r="AL1047" s="337" t="s">
        <v>7365</v>
      </c>
      <c r="AM1047" s="115" t="s">
        <v>974</v>
      </c>
      <c r="AN1047" s="246">
        <v>44867</v>
      </c>
      <c r="AO1047" s="137"/>
      <c r="AP1047" s="254"/>
      <c r="AQ1047" s="254"/>
      <c r="AR1047" s="254"/>
      <c r="AS1047" s="254"/>
      <c r="AT1047" s="254"/>
      <c r="AU1047" s="254"/>
      <c r="AV1047" s="254"/>
      <c r="AW1047" s="254"/>
      <c r="AX1047" s="254"/>
      <c r="AY1047" s="254"/>
      <c r="AZ1047" s="254"/>
      <c r="BA1047" s="254"/>
      <c r="BB1047" s="254"/>
      <c r="BC1047" s="254"/>
      <c r="BD1047" s="254"/>
      <c r="BE1047" s="254"/>
    </row>
    <row r="1048" s="97" customFormat="1" customHeight="1" spans="1:57">
      <c r="A1048" s="115" t="s">
        <v>8474</v>
      </c>
      <c r="B1048" s="111" t="s">
        <v>8475</v>
      </c>
      <c r="C1048" s="554" t="s">
        <v>8476</v>
      </c>
      <c r="D1048" s="113" t="s">
        <v>8477</v>
      </c>
      <c r="E1048" s="111">
        <v>15938716117</v>
      </c>
      <c r="F1048" s="267">
        <v>3</v>
      </c>
      <c r="G1048" s="268">
        <v>3682</v>
      </c>
      <c r="H1048" s="274">
        <v>17</v>
      </c>
      <c r="I1048" s="274" t="s">
        <v>2657</v>
      </c>
      <c r="J1048" s="113" t="s">
        <v>8478</v>
      </c>
      <c r="K1048" s="116">
        <v>15.92</v>
      </c>
      <c r="L1048" s="266" t="s">
        <v>2762</v>
      </c>
      <c r="M1048" s="266" t="s">
        <v>2869</v>
      </c>
      <c r="N1048" s="113" t="s">
        <v>56</v>
      </c>
      <c r="O1048" s="113"/>
      <c r="P1048" s="113"/>
      <c r="Q1048" s="113">
        <v>31818.53</v>
      </c>
      <c r="R1048" s="113">
        <v>540915</v>
      </c>
      <c r="S1048" s="121">
        <v>540915</v>
      </c>
      <c r="T1048" s="292">
        <f t="shared" si="332"/>
        <v>0</v>
      </c>
      <c r="U1048" s="113"/>
      <c r="V1048" s="113">
        <v>1105</v>
      </c>
      <c r="W1048" s="113">
        <v>550</v>
      </c>
      <c r="X1048" s="113"/>
      <c r="Y1048" s="113" t="s">
        <v>2669</v>
      </c>
      <c r="Z1048" s="113" t="s">
        <v>48</v>
      </c>
      <c r="AA1048" s="275">
        <v>44022</v>
      </c>
      <c r="AB1048" s="113"/>
      <c r="AC1048" s="113"/>
      <c r="AD1048" s="122"/>
      <c r="AE1048" s="133"/>
      <c r="AF1048" s="115"/>
      <c r="AG1048" s="133"/>
      <c r="AH1048" s="133"/>
      <c r="AI1048" s="132">
        <f t="shared" si="333"/>
        <v>542570</v>
      </c>
      <c r="AJ1048" s="132">
        <f t="shared" si="334"/>
        <v>542570</v>
      </c>
      <c r="AK1048" s="133">
        <f t="shared" si="335"/>
        <v>0</v>
      </c>
      <c r="AL1048" s="198"/>
      <c r="AM1048" s="133" t="s">
        <v>886</v>
      </c>
      <c r="AN1048" s="246">
        <v>44888</v>
      </c>
      <c r="AO1048" s="137"/>
      <c r="AP1048" s="255"/>
      <c r="AQ1048" s="255"/>
      <c r="AR1048" s="255"/>
      <c r="AS1048" s="255"/>
      <c r="AT1048" s="255"/>
      <c r="AU1048" s="255"/>
      <c r="AV1048" s="255"/>
      <c r="AW1048" s="255"/>
      <c r="AX1048" s="255"/>
      <c r="AY1048" s="255"/>
      <c r="AZ1048" s="255"/>
      <c r="BA1048" s="255"/>
      <c r="BB1048" s="255"/>
      <c r="BC1048" s="255"/>
      <c r="BD1048" s="255"/>
      <c r="BE1048" s="255"/>
    </row>
    <row r="1049" s="97" customFormat="1" customHeight="1" spans="1:41">
      <c r="A1049" s="115" t="s">
        <v>8479</v>
      </c>
      <c r="B1049" s="296" t="s">
        <v>8480</v>
      </c>
      <c r="C1049" s="296" t="s">
        <v>8481</v>
      </c>
      <c r="D1049" s="267" t="s">
        <v>8482</v>
      </c>
      <c r="E1049" s="267">
        <v>17513312310</v>
      </c>
      <c r="F1049" s="267">
        <v>3</v>
      </c>
      <c r="G1049" s="268">
        <v>3160</v>
      </c>
      <c r="H1049" s="274">
        <v>47.13</v>
      </c>
      <c r="I1049" s="274" t="s">
        <v>2665</v>
      </c>
      <c r="J1049" s="267" t="s">
        <v>8483</v>
      </c>
      <c r="K1049" s="326">
        <v>46.68</v>
      </c>
      <c r="L1049" s="268" t="s">
        <v>3865</v>
      </c>
      <c r="M1049" s="268" t="s">
        <v>2814</v>
      </c>
      <c r="N1049" s="267" t="s">
        <v>56</v>
      </c>
      <c r="O1049" s="267"/>
      <c r="P1049" s="267"/>
      <c r="Q1049" s="274">
        <v>25120.95</v>
      </c>
      <c r="R1049" s="267">
        <v>1183950</v>
      </c>
      <c r="S1049" s="292">
        <v>1183950</v>
      </c>
      <c r="T1049" s="292">
        <f t="shared" si="332"/>
        <v>0</v>
      </c>
      <c r="U1049" s="267"/>
      <c r="V1049" s="267">
        <v>3063</v>
      </c>
      <c r="W1049" s="267">
        <v>550</v>
      </c>
      <c r="X1049" s="267"/>
      <c r="Y1049" s="267" t="s">
        <v>2669</v>
      </c>
      <c r="Z1049" s="267" t="s">
        <v>48</v>
      </c>
      <c r="AA1049" s="304">
        <v>44042</v>
      </c>
      <c r="AB1049" s="267"/>
      <c r="AC1049" s="246"/>
      <c r="AD1049" s="115"/>
      <c r="AE1049" s="115"/>
      <c r="AF1049" s="115"/>
      <c r="AG1049" s="115"/>
      <c r="AH1049" s="115"/>
      <c r="AI1049" s="132">
        <f t="shared" si="333"/>
        <v>1187563</v>
      </c>
      <c r="AJ1049" s="132">
        <f t="shared" si="334"/>
        <v>1187563</v>
      </c>
      <c r="AK1049" s="133">
        <f t="shared" si="335"/>
        <v>0</v>
      </c>
      <c r="AL1049" s="115"/>
      <c r="AM1049" s="115" t="s">
        <v>974</v>
      </c>
      <c r="AN1049" s="246">
        <v>44867</v>
      </c>
      <c r="AO1049" s="137"/>
    </row>
    <row r="1050" s="97" customFormat="1" customHeight="1" spans="1:41">
      <c r="A1050" s="337" t="s">
        <v>8484</v>
      </c>
      <c r="B1050" s="111" t="s">
        <v>8485</v>
      </c>
      <c r="C1050" s="111" t="s">
        <v>8486</v>
      </c>
      <c r="D1050" s="121" t="s">
        <v>8487</v>
      </c>
      <c r="E1050" s="113">
        <v>15890126599</v>
      </c>
      <c r="F1050" s="267">
        <v>3</v>
      </c>
      <c r="G1050" s="268">
        <v>3632</v>
      </c>
      <c r="H1050" s="274">
        <v>20.12</v>
      </c>
      <c r="I1050" s="274" t="s">
        <v>2657</v>
      </c>
      <c r="J1050" s="113" t="s">
        <v>8488</v>
      </c>
      <c r="K1050" s="113">
        <v>19.82</v>
      </c>
      <c r="L1050" s="266" t="s">
        <v>3911</v>
      </c>
      <c r="M1050" s="266" t="s">
        <v>5580</v>
      </c>
      <c r="N1050" s="113" t="s">
        <v>66</v>
      </c>
      <c r="O1050" s="113"/>
      <c r="P1050" s="113"/>
      <c r="Q1050" s="113">
        <v>31522.25</v>
      </c>
      <c r="R1050" s="113">
        <v>624771</v>
      </c>
      <c r="S1050" s="121">
        <v>314771</v>
      </c>
      <c r="T1050" s="292">
        <f t="shared" si="332"/>
        <v>310000</v>
      </c>
      <c r="U1050" s="113"/>
      <c r="V1050" s="113"/>
      <c r="W1050" s="113"/>
      <c r="X1050" s="113"/>
      <c r="Y1050" s="113"/>
      <c r="Z1050" s="113"/>
      <c r="AA1050" s="113"/>
      <c r="AB1050" s="113"/>
      <c r="AC1050" s="246"/>
      <c r="AD1050" s="115"/>
      <c r="AE1050" s="115"/>
      <c r="AF1050" s="115"/>
      <c r="AG1050" s="115"/>
      <c r="AH1050" s="115"/>
      <c r="AI1050" s="132">
        <f t="shared" ref="AI1050:AI1055" si="336">S1050+U1050+V1050+W1050+X1050+AC1050+AD1050+AE1050</f>
        <v>314771</v>
      </c>
      <c r="AJ1050" s="341"/>
      <c r="AK1050" s="133">
        <f t="shared" ref="AK1050:AK1055" si="337">AI1050-AJ1050</f>
        <v>314771</v>
      </c>
      <c r="AL1050" s="337" t="s">
        <v>7365</v>
      </c>
      <c r="AM1050" s="115" t="s">
        <v>974</v>
      </c>
      <c r="AN1050" s="246">
        <v>44867</v>
      </c>
      <c r="AO1050" s="137"/>
    </row>
    <row r="1051" s="97" customFormat="1" customHeight="1" spans="1:57">
      <c r="A1051" s="115" t="s">
        <v>8489</v>
      </c>
      <c r="B1051" s="111" t="s">
        <v>8490</v>
      </c>
      <c r="C1051" s="111" t="s">
        <v>8491</v>
      </c>
      <c r="D1051" s="121" t="s">
        <v>8492</v>
      </c>
      <c r="E1051" s="113">
        <v>15237130381</v>
      </c>
      <c r="F1051" s="267">
        <v>3</v>
      </c>
      <c r="G1051" s="268">
        <v>3141</v>
      </c>
      <c r="H1051" s="274">
        <v>20.14</v>
      </c>
      <c r="I1051" s="274" t="s">
        <v>2657</v>
      </c>
      <c r="J1051" s="113" t="s">
        <v>8493</v>
      </c>
      <c r="K1051" s="116">
        <v>20.82</v>
      </c>
      <c r="L1051" s="266" t="s">
        <v>3355</v>
      </c>
      <c r="M1051" s="266" t="s">
        <v>3858</v>
      </c>
      <c r="N1051" s="113" t="s">
        <v>66</v>
      </c>
      <c r="O1051" s="113"/>
      <c r="P1051" s="113"/>
      <c r="Q1051" s="113">
        <v>31622.33</v>
      </c>
      <c r="R1051" s="113">
        <v>658377</v>
      </c>
      <c r="S1051" s="121">
        <v>518377</v>
      </c>
      <c r="T1051" s="292">
        <f t="shared" si="332"/>
        <v>140000</v>
      </c>
      <c r="U1051" s="113"/>
      <c r="V1051" s="113"/>
      <c r="W1051" s="113"/>
      <c r="X1051" s="113"/>
      <c r="Y1051" s="113"/>
      <c r="Z1051" s="113"/>
      <c r="AA1051" s="113"/>
      <c r="AB1051" s="113"/>
      <c r="AC1051" s="246"/>
      <c r="AD1051" s="115"/>
      <c r="AE1051" s="115"/>
      <c r="AF1051" s="115"/>
      <c r="AG1051" s="115"/>
      <c r="AH1051" s="115"/>
      <c r="AI1051" s="132">
        <f t="shared" si="336"/>
        <v>518377</v>
      </c>
      <c r="AJ1051" s="132">
        <f t="shared" ref="AJ1051:AJ1055" si="338">S1051+U1051+V1051+W1051+X1051</f>
        <v>518377</v>
      </c>
      <c r="AK1051" s="133">
        <f t="shared" si="337"/>
        <v>0</v>
      </c>
      <c r="AL1051" s="115"/>
      <c r="AM1051" s="115" t="s">
        <v>974</v>
      </c>
      <c r="AN1051" s="246">
        <v>44867</v>
      </c>
      <c r="AO1051" s="137"/>
      <c r="AP1051" s="254"/>
      <c r="AQ1051" s="254"/>
      <c r="AR1051" s="254"/>
      <c r="AS1051" s="254"/>
      <c r="AT1051" s="254"/>
      <c r="AU1051" s="254"/>
      <c r="AV1051" s="254"/>
      <c r="AW1051" s="254"/>
      <c r="AX1051" s="254"/>
      <c r="AY1051" s="254"/>
      <c r="AZ1051" s="254"/>
      <c r="BA1051" s="254"/>
      <c r="BB1051" s="254"/>
      <c r="BC1051" s="254"/>
      <c r="BD1051" s="254"/>
      <c r="BE1051" s="254"/>
    </row>
    <row r="1052" s="97" customFormat="1" customHeight="1" spans="1:57">
      <c r="A1052" s="115" t="s">
        <v>8494</v>
      </c>
      <c r="B1052" s="111" t="s">
        <v>8495</v>
      </c>
      <c r="C1052" s="111" t="s">
        <v>8496</v>
      </c>
      <c r="D1052" s="121" t="s">
        <v>7526</v>
      </c>
      <c r="E1052" s="113">
        <v>18530966098</v>
      </c>
      <c r="F1052" s="267">
        <v>3</v>
      </c>
      <c r="G1052" s="268">
        <v>3622</v>
      </c>
      <c r="H1052" s="274">
        <v>20.12</v>
      </c>
      <c r="I1052" s="274" t="s">
        <v>2657</v>
      </c>
      <c r="J1052" s="113" t="s">
        <v>8497</v>
      </c>
      <c r="K1052" s="113">
        <v>20.68</v>
      </c>
      <c r="L1052" s="266" t="s">
        <v>3073</v>
      </c>
      <c r="M1052" s="266" t="s">
        <v>3061</v>
      </c>
      <c r="N1052" s="113" t="s">
        <v>66</v>
      </c>
      <c r="O1052" s="113"/>
      <c r="P1052" s="113"/>
      <c r="Q1052" s="113">
        <v>31689.26</v>
      </c>
      <c r="R1052" s="113">
        <v>655334</v>
      </c>
      <c r="S1052" s="121">
        <v>335334</v>
      </c>
      <c r="T1052" s="292">
        <f t="shared" si="332"/>
        <v>320000</v>
      </c>
      <c r="U1052" s="113"/>
      <c r="V1052" s="113"/>
      <c r="W1052" s="113"/>
      <c r="X1052" s="113"/>
      <c r="Y1052" s="113"/>
      <c r="Z1052" s="113"/>
      <c r="AA1052" s="113"/>
      <c r="AB1052" s="113"/>
      <c r="AC1052" s="246"/>
      <c r="AD1052" s="115"/>
      <c r="AE1052" s="115"/>
      <c r="AF1052" s="115"/>
      <c r="AG1052" s="115"/>
      <c r="AH1052" s="115"/>
      <c r="AI1052" s="132">
        <f t="shared" si="336"/>
        <v>335334</v>
      </c>
      <c r="AJ1052" s="132">
        <f t="shared" si="338"/>
        <v>335334</v>
      </c>
      <c r="AK1052" s="133">
        <f t="shared" si="337"/>
        <v>0</v>
      </c>
      <c r="AL1052" s="115"/>
      <c r="AM1052" s="115" t="s">
        <v>974</v>
      </c>
      <c r="AN1052" s="246">
        <v>44867</v>
      </c>
      <c r="AO1052" s="137"/>
      <c r="AP1052" s="254"/>
      <c r="AQ1052" s="254"/>
      <c r="AR1052" s="254"/>
      <c r="AS1052" s="254"/>
      <c r="AT1052" s="254"/>
      <c r="AU1052" s="254"/>
      <c r="AV1052" s="254"/>
      <c r="AW1052" s="254"/>
      <c r="AX1052" s="254"/>
      <c r="AY1052" s="254"/>
      <c r="AZ1052" s="254"/>
      <c r="BA1052" s="254"/>
      <c r="BB1052" s="254"/>
      <c r="BC1052" s="254"/>
      <c r="BD1052" s="254"/>
      <c r="BE1052" s="254"/>
    </row>
    <row r="1053" s="97" customFormat="1" customHeight="1" spans="1:57">
      <c r="A1053" s="115" t="s">
        <v>8498</v>
      </c>
      <c r="B1053" s="111" t="s">
        <v>8499</v>
      </c>
      <c r="C1053" s="554" t="s">
        <v>8500</v>
      </c>
      <c r="D1053" s="113" t="s">
        <v>8501</v>
      </c>
      <c r="E1053" s="113">
        <v>13837196071</v>
      </c>
      <c r="F1053" s="267">
        <v>4</v>
      </c>
      <c r="G1053" s="268">
        <v>432</v>
      </c>
      <c r="H1053" s="274">
        <v>20.86</v>
      </c>
      <c r="I1053" s="274" t="s">
        <v>2657</v>
      </c>
      <c r="J1053" s="113" t="s">
        <v>8502</v>
      </c>
      <c r="K1053" s="113">
        <v>18.39</v>
      </c>
      <c r="L1053" s="266" t="s">
        <v>3326</v>
      </c>
      <c r="M1053" s="266" t="s">
        <v>2807</v>
      </c>
      <c r="N1053" s="113" t="s">
        <v>56</v>
      </c>
      <c r="O1053" s="113"/>
      <c r="P1053" s="113"/>
      <c r="Q1053" s="113">
        <v>24748.29</v>
      </c>
      <c r="R1053" s="113">
        <v>455121</v>
      </c>
      <c r="S1053" s="121">
        <v>455121</v>
      </c>
      <c r="T1053" s="292">
        <f t="shared" si="332"/>
        <v>0</v>
      </c>
      <c r="U1053" s="113"/>
      <c r="V1053" s="113"/>
      <c r="W1053" s="113"/>
      <c r="X1053" s="113"/>
      <c r="Y1053" s="113"/>
      <c r="Z1053" s="113"/>
      <c r="AA1053" s="113"/>
      <c r="AB1053" s="113"/>
      <c r="AC1053" s="246"/>
      <c r="AD1053" s="115"/>
      <c r="AE1053" s="115"/>
      <c r="AF1053" s="115"/>
      <c r="AG1053" s="115"/>
      <c r="AH1053" s="115"/>
      <c r="AI1053" s="132">
        <f t="shared" si="336"/>
        <v>455121</v>
      </c>
      <c r="AJ1053" s="132">
        <f t="shared" si="338"/>
        <v>455121</v>
      </c>
      <c r="AK1053" s="133">
        <f t="shared" si="337"/>
        <v>0</v>
      </c>
      <c r="AL1053" s="115"/>
      <c r="AM1053" s="115" t="s">
        <v>974</v>
      </c>
      <c r="AN1053" s="246">
        <v>44867</v>
      </c>
      <c r="AO1053" s="137"/>
      <c r="AP1053" s="254"/>
      <c r="AQ1053" s="254"/>
      <c r="AR1053" s="254"/>
      <c r="AS1053" s="254"/>
      <c r="AT1053" s="254"/>
      <c r="AU1053" s="254"/>
      <c r="AV1053" s="254"/>
      <c r="AW1053" s="254"/>
      <c r="AX1053" s="254"/>
      <c r="AY1053" s="254"/>
      <c r="AZ1053" s="254"/>
      <c r="BA1053" s="254"/>
      <c r="BB1053" s="254"/>
      <c r="BC1053" s="254"/>
      <c r="BD1053" s="254"/>
      <c r="BE1053" s="254"/>
    </row>
    <row r="1054" s="97" customFormat="1" customHeight="1" spans="1:57">
      <c r="A1054" s="115" t="s">
        <v>8503</v>
      </c>
      <c r="B1054" s="111" t="s">
        <v>8504</v>
      </c>
      <c r="C1054" s="111" t="s">
        <v>8505</v>
      </c>
      <c r="D1054" s="121" t="s">
        <v>8506</v>
      </c>
      <c r="E1054" s="113">
        <v>18838268998</v>
      </c>
      <c r="F1054" s="267">
        <v>3</v>
      </c>
      <c r="G1054" s="268">
        <v>3779</v>
      </c>
      <c r="H1054" s="274">
        <v>19.99</v>
      </c>
      <c r="I1054" s="274" t="s">
        <v>2657</v>
      </c>
      <c r="J1054" s="113" t="s">
        <v>8507</v>
      </c>
      <c r="K1054" s="113">
        <v>20.41</v>
      </c>
      <c r="L1054" s="266" t="s">
        <v>4288</v>
      </c>
      <c r="M1054" s="266" t="s">
        <v>3048</v>
      </c>
      <c r="N1054" s="113" t="s">
        <v>66</v>
      </c>
      <c r="O1054" s="113"/>
      <c r="P1054" s="113"/>
      <c r="Q1054" s="113">
        <v>32053.21</v>
      </c>
      <c r="R1054" s="113">
        <v>654206</v>
      </c>
      <c r="S1054" s="121">
        <v>334206</v>
      </c>
      <c r="T1054" s="292">
        <f t="shared" si="332"/>
        <v>320000</v>
      </c>
      <c r="U1054" s="113"/>
      <c r="V1054" s="113"/>
      <c r="W1054" s="113"/>
      <c r="X1054" s="113"/>
      <c r="Y1054" s="113"/>
      <c r="Z1054" s="113"/>
      <c r="AA1054" s="113"/>
      <c r="AB1054" s="113"/>
      <c r="AC1054" s="246"/>
      <c r="AD1054" s="115"/>
      <c r="AE1054" s="115"/>
      <c r="AF1054" s="115"/>
      <c r="AG1054" s="115"/>
      <c r="AH1054" s="115"/>
      <c r="AI1054" s="132">
        <f t="shared" si="336"/>
        <v>334206</v>
      </c>
      <c r="AJ1054" s="132">
        <f t="shared" si="338"/>
        <v>334206</v>
      </c>
      <c r="AK1054" s="133">
        <f t="shared" si="337"/>
        <v>0</v>
      </c>
      <c r="AL1054" s="115"/>
      <c r="AM1054" s="115" t="s">
        <v>974</v>
      </c>
      <c r="AN1054" s="246">
        <v>44867</v>
      </c>
      <c r="AO1054" s="137"/>
      <c r="AP1054" s="254"/>
      <c r="AQ1054" s="254"/>
      <c r="AR1054" s="254"/>
      <c r="AS1054" s="254"/>
      <c r="AT1054" s="254"/>
      <c r="AU1054" s="254"/>
      <c r="AV1054" s="254"/>
      <c r="AW1054" s="254"/>
      <c r="AX1054" s="254"/>
      <c r="AY1054" s="254"/>
      <c r="AZ1054" s="254"/>
      <c r="BA1054" s="254"/>
      <c r="BB1054" s="254"/>
      <c r="BC1054" s="254"/>
      <c r="BD1054" s="254"/>
      <c r="BE1054" s="254"/>
    </row>
    <row r="1055" s="97" customFormat="1" customHeight="1" spans="1:57">
      <c r="A1055" s="115" t="s">
        <v>8508</v>
      </c>
      <c r="B1055" s="111" t="s">
        <v>8509</v>
      </c>
      <c r="C1055" s="111" t="s">
        <v>8510</v>
      </c>
      <c r="D1055" s="113" t="s">
        <v>8511</v>
      </c>
      <c r="E1055" s="113">
        <v>18037139592</v>
      </c>
      <c r="F1055" s="267">
        <v>1</v>
      </c>
      <c r="G1055" s="268">
        <v>1606</v>
      </c>
      <c r="H1055" s="274">
        <v>16.44</v>
      </c>
      <c r="I1055" s="274" t="s">
        <v>2657</v>
      </c>
      <c r="J1055" s="113" t="s">
        <v>8512</v>
      </c>
      <c r="K1055" s="116">
        <v>14.93</v>
      </c>
      <c r="L1055" s="266" t="s">
        <v>2961</v>
      </c>
      <c r="M1055" s="266" t="s">
        <v>2869</v>
      </c>
      <c r="N1055" s="113" t="s">
        <v>66</v>
      </c>
      <c r="O1055" s="113"/>
      <c r="P1055" s="113"/>
      <c r="Q1055" s="113">
        <v>47730.68</v>
      </c>
      <c r="R1055" s="113">
        <v>784692</v>
      </c>
      <c r="S1055" s="121">
        <v>394692</v>
      </c>
      <c r="T1055" s="292">
        <f t="shared" si="332"/>
        <v>390000</v>
      </c>
      <c r="U1055" s="113"/>
      <c r="V1055" s="113">
        <v>1068</v>
      </c>
      <c r="W1055" s="113">
        <v>550</v>
      </c>
      <c r="X1055" s="113"/>
      <c r="Y1055" s="113" t="s">
        <v>2669</v>
      </c>
      <c r="Z1055" s="113"/>
      <c r="AA1055" s="113"/>
      <c r="AB1055" s="113"/>
      <c r="AC1055" s="246"/>
      <c r="AD1055" s="115"/>
      <c r="AE1055" s="115"/>
      <c r="AF1055" s="115"/>
      <c r="AG1055" s="115"/>
      <c r="AH1055" s="115"/>
      <c r="AI1055" s="132">
        <f t="shared" si="336"/>
        <v>396310</v>
      </c>
      <c r="AJ1055" s="132">
        <f t="shared" si="338"/>
        <v>396310</v>
      </c>
      <c r="AK1055" s="133">
        <f t="shared" si="337"/>
        <v>0</v>
      </c>
      <c r="AL1055" s="115"/>
      <c r="AM1055" s="115" t="s">
        <v>974</v>
      </c>
      <c r="AN1055" s="246">
        <v>44867</v>
      </c>
      <c r="AO1055" s="137"/>
      <c r="AP1055" s="254"/>
      <c r="AQ1055" s="254"/>
      <c r="AR1055" s="254"/>
      <c r="AS1055" s="254"/>
      <c r="AT1055" s="254"/>
      <c r="AU1055" s="254"/>
      <c r="AV1055" s="254"/>
      <c r="AW1055" s="254"/>
      <c r="AX1055" s="254"/>
      <c r="AY1055" s="254"/>
      <c r="AZ1055" s="254"/>
      <c r="BA1055" s="254"/>
      <c r="BB1055" s="254"/>
      <c r="BC1055" s="254"/>
      <c r="BD1055" s="254"/>
      <c r="BE1055" s="254"/>
    </row>
    <row r="1056" s="97" customFormat="1" customHeight="1" spans="1:57">
      <c r="A1056" s="337" t="s">
        <v>8513</v>
      </c>
      <c r="B1056" s="111" t="s">
        <v>8514</v>
      </c>
      <c r="C1056" s="111" t="s">
        <v>8515</v>
      </c>
      <c r="D1056" s="121" t="s">
        <v>8516</v>
      </c>
      <c r="E1056" s="113">
        <v>15736711726</v>
      </c>
      <c r="F1056" s="267">
        <v>3</v>
      </c>
      <c r="G1056" s="268">
        <v>3621</v>
      </c>
      <c r="H1056" s="274">
        <v>20.12</v>
      </c>
      <c r="I1056" s="274" t="s">
        <v>2657</v>
      </c>
      <c r="J1056" s="113" t="s">
        <v>8517</v>
      </c>
      <c r="K1056" s="113">
        <v>19.82</v>
      </c>
      <c r="L1056" s="266" t="s">
        <v>2746</v>
      </c>
      <c r="M1056" s="266" t="s">
        <v>7160</v>
      </c>
      <c r="N1056" s="113" t="s">
        <v>66</v>
      </c>
      <c r="O1056" s="113"/>
      <c r="P1056" s="113"/>
      <c r="Q1056" s="113">
        <v>32375.83</v>
      </c>
      <c r="R1056" s="113">
        <v>651402</v>
      </c>
      <c r="S1056" s="121">
        <v>331402</v>
      </c>
      <c r="T1056" s="121"/>
      <c r="U1056" s="113">
        <v>320000</v>
      </c>
      <c r="V1056" s="113">
        <v>1307</v>
      </c>
      <c r="W1056" s="113">
        <v>550</v>
      </c>
      <c r="X1056" s="113"/>
      <c r="Y1056" s="113" t="s">
        <v>2669</v>
      </c>
      <c r="Z1056" s="113" t="s">
        <v>48</v>
      </c>
      <c r="AA1056" s="304">
        <v>44021</v>
      </c>
      <c r="AB1056" s="113"/>
      <c r="AC1056" s="246"/>
      <c r="AD1056" s="115"/>
      <c r="AE1056" s="115"/>
      <c r="AF1056" s="115"/>
      <c r="AG1056" s="115"/>
      <c r="AH1056" s="115"/>
      <c r="AI1056" s="132">
        <f t="shared" ref="AI1056:AI1067" si="339">S1056+U1056+V1056+W1056+X1056+AC1056+AD1056+AE1056</f>
        <v>653259</v>
      </c>
      <c r="AJ1056" s="341"/>
      <c r="AK1056" s="133">
        <f t="shared" ref="AK1056:AK1067" si="340">AI1056-AJ1056</f>
        <v>653259</v>
      </c>
      <c r="AL1056" s="337" t="s">
        <v>7365</v>
      </c>
      <c r="AM1056" s="115" t="s">
        <v>974</v>
      </c>
      <c r="AN1056" s="246">
        <v>44867</v>
      </c>
      <c r="AO1056" s="137"/>
      <c r="AP1056" s="254"/>
      <c r="AQ1056" s="254"/>
      <c r="AR1056" s="254"/>
      <c r="AS1056" s="254"/>
      <c r="AT1056" s="254"/>
      <c r="AU1056" s="254"/>
      <c r="AV1056" s="254"/>
      <c r="AW1056" s="254"/>
      <c r="AX1056" s="254"/>
      <c r="AY1056" s="254"/>
      <c r="AZ1056" s="254"/>
      <c r="BA1056" s="254"/>
      <c r="BB1056" s="254"/>
      <c r="BC1056" s="254"/>
      <c r="BD1056" s="254"/>
      <c r="BE1056" s="254"/>
    </row>
    <row r="1057" s="97" customFormat="1" customHeight="1" spans="1:57">
      <c r="A1057" s="115" t="s">
        <v>8518</v>
      </c>
      <c r="B1057" s="111" t="s">
        <v>8519</v>
      </c>
      <c r="C1057" s="554" t="s">
        <v>8520</v>
      </c>
      <c r="D1057" s="113" t="s">
        <v>8521</v>
      </c>
      <c r="E1057" s="113">
        <v>15803803143</v>
      </c>
      <c r="F1057" s="267">
        <v>4</v>
      </c>
      <c r="G1057" s="268">
        <v>4232</v>
      </c>
      <c r="H1057" s="274">
        <v>17.87</v>
      </c>
      <c r="I1057" s="274" t="s">
        <v>2657</v>
      </c>
      <c r="J1057" s="113" t="s">
        <v>8522</v>
      </c>
      <c r="K1057" s="116">
        <v>19.23</v>
      </c>
      <c r="L1057" s="266" t="s">
        <v>3355</v>
      </c>
      <c r="M1057" s="266" t="s">
        <v>2961</v>
      </c>
      <c r="N1057" s="113" t="s">
        <v>66</v>
      </c>
      <c r="O1057" s="113"/>
      <c r="P1057" s="113"/>
      <c r="Q1057" s="113">
        <v>26042.54</v>
      </c>
      <c r="R1057" s="113">
        <v>500798</v>
      </c>
      <c r="S1057" s="121">
        <v>250798</v>
      </c>
      <c r="T1057" s="292">
        <f t="shared" ref="T1057:T1110" si="341">R1057-S1057</f>
        <v>250000</v>
      </c>
      <c r="U1057" s="113"/>
      <c r="V1057" s="113"/>
      <c r="W1057" s="113"/>
      <c r="X1057" s="113"/>
      <c r="Y1057" s="113"/>
      <c r="Z1057" s="113"/>
      <c r="AA1057" s="113"/>
      <c r="AB1057" s="113"/>
      <c r="AC1057" s="246"/>
      <c r="AD1057" s="115"/>
      <c r="AE1057" s="115"/>
      <c r="AF1057" s="115"/>
      <c r="AG1057" s="115"/>
      <c r="AH1057" s="115"/>
      <c r="AI1057" s="132">
        <f t="shared" si="339"/>
        <v>250798</v>
      </c>
      <c r="AJ1057" s="132">
        <f t="shared" ref="AJ1057:AJ1067" si="342">S1057+U1057+V1057+W1057+X1057</f>
        <v>250798</v>
      </c>
      <c r="AK1057" s="133">
        <f t="shared" si="340"/>
        <v>0</v>
      </c>
      <c r="AL1057" s="115"/>
      <c r="AM1057" s="115" t="s">
        <v>974</v>
      </c>
      <c r="AN1057" s="246">
        <v>44867</v>
      </c>
      <c r="AO1057" s="137"/>
      <c r="AP1057" s="256"/>
      <c r="AQ1057" s="256"/>
      <c r="AR1057" s="256"/>
      <c r="AS1057" s="256"/>
      <c r="AT1057" s="256"/>
      <c r="AU1057" s="256"/>
      <c r="AV1057" s="256"/>
      <c r="AW1057" s="256"/>
      <c r="AX1057" s="256"/>
      <c r="AY1057" s="256"/>
      <c r="AZ1057" s="256"/>
      <c r="BA1057" s="256"/>
      <c r="BB1057" s="256"/>
      <c r="BC1057" s="256"/>
      <c r="BD1057" s="256"/>
      <c r="BE1057" s="256"/>
    </row>
    <row r="1058" s="97" customFormat="1" customHeight="1" spans="1:41">
      <c r="A1058" s="115" t="s">
        <v>8523</v>
      </c>
      <c r="B1058" s="111" t="s">
        <v>8524</v>
      </c>
      <c r="C1058" s="111" t="s">
        <v>8525</v>
      </c>
      <c r="D1058" s="121"/>
      <c r="E1058" s="113">
        <v>15938730920</v>
      </c>
      <c r="F1058" s="267">
        <v>3</v>
      </c>
      <c r="G1058" s="268">
        <v>3400</v>
      </c>
      <c r="H1058" s="274">
        <v>13.39</v>
      </c>
      <c r="I1058" s="274" t="s">
        <v>2657</v>
      </c>
      <c r="J1058" s="113" t="s">
        <v>8526</v>
      </c>
      <c r="K1058" s="113">
        <v>11.9</v>
      </c>
      <c r="L1058" s="266" t="s">
        <v>3538</v>
      </c>
      <c r="M1058" s="266" t="s">
        <v>3205</v>
      </c>
      <c r="N1058" s="113" t="s">
        <v>66</v>
      </c>
      <c r="O1058" s="113"/>
      <c r="P1058" s="113"/>
      <c r="Q1058" s="113">
        <v>32601.76</v>
      </c>
      <c r="R1058" s="113">
        <v>387961</v>
      </c>
      <c r="S1058" s="121">
        <v>197961</v>
      </c>
      <c r="T1058" s="292">
        <f t="shared" si="341"/>
        <v>190000</v>
      </c>
      <c r="U1058" s="113"/>
      <c r="V1058" s="113"/>
      <c r="W1058" s="113"/>
      <c r="X1058" s="113"/>
      <c r="Y1058" s="113"/>
      <c r="Z1058" s="113"/>
      <c r="AA1058" s="113"/>
      <c r="AB1058" s="113"/>
      <c r="AC1058" s="246"/>
      <c r="AD1058" s="115"/>
      <c r="AE1058" s="115"/>
      <c r="AF1058" s="115"/>
      <c r="AG1058" s="115"/>
      <c r="AH1058" s="115"/>
      <c r="AI1058" s="132">
        <f t="shared" si="339"/>
        <v>197961</v>
      </c>
      <c r="AJ1058" s="132">
        <f t="shared" si="342"/>
        <v>197961</v>
      </c>
      <c r="AK1058" s="133">
        <f t="shared" si="340"/>
        <v>0</v>
      </c>
      <c r="AL1058" s="115"/>
      <c r="AM1058" s="115" t="s">
        <v>974</v>
      </c>
      <c r="AN1058" s="246">
        <v>44867</v>
      </c>
      <c r="AO1058" s="137"/>
    </row>
    <row r="1059" s="97" customFormat="1" customHeight="1" spans="1:41">
      <c r="A1059" s="115" t="s">
        <v>8527</v>
      </c>
      <c r="B1059" s="111" t="s">
        <v>8528</v>
      </c>
      <c r="C1059" s="111" t="s">
        <v>8529</v>
      </c>
      <c r="D1059" s="121" t="s">
        <v>8530</v>
      </c>
      <c r="E1059" s="113">
        <v>18339223920</v>
      </c>
      <c r="F1059" s="267">
        <v>3</v>
      </c>
      <c r="G1059" s="268">
        <v>3858</v>
      </c>
      <c r="H1059" s="274">
        <v>11.36</v>
      </c>
      <c r="I1059" s="274" t="s">
        <v>2657</v>
      </c>
      <c r="J1059" s="113" t="s">
        <v>8531</v>
      </c>
      <c r="K1059" s="113">
        <v>10.26</v>
      </c>
      <c r="L1059" s="266" t="s">
        <v>3550</v>
      </c>
      <c r="M1059" s="266" t="s">
        <v>4932</v>
      </c>
      <c r="N1059" s="113" t="s">
        <v>66</v>
      </c>
      <c r="O1059" s="113"/>
      <c r="P1059" s="113"/>
      <c r="Q1059" s="113">
        <v>33343.08</v>
      </c>
      <c r="R1059" s="113">
        <v>342100</v>
      </c>
      <c r="S1059" s="121">
        <v>172100</v>
      </c>
      <c r="T1059" s="292">
        <f t="shared" si="341"/>
        <v>170000</v>
      </c>
      <c r="U1059" s="113"/>
      <c r="V1059" s="113"/>
      <c r="W1059" s="113"/>
      <c r="X1059" s="113"/>
      <c r="Y1059" s="113"/>
      <c r="Z1059" s="113"/>
      <c r="AA1059" s="113"/>
      <c r="AB1059" s="113"/>
      <c r="AC1059" s="246"/>
      <c r="AD1059" s="115"/>
      <c r="AE1059" s="115">
        <v>156</v>
      </c>
      <c r="AF1059" s="115"/>
      <c r="AG1059" s="115"/>
      <c r="AH1059" s="115"/>
      <c r="AI1059" s="132">
        <f t="shared" si="339"/>
        <v>172256</v>
      </c>
      <c r="AJ1059" s="132">
        <f t="shared" si="342"/>
        <v>172100</v>
      </c>
      <c r="AK1059" s="133">
        <f t="shared" si="340"/>
        <v>156</v>
      </c>
      <c r="AL1059" s="155" t="s">
        <v>8532</v>
      </c>
      <c r="AM1059" s="115" t="s">
        <v>974</v>
      </c>
      <c r="AN1059" s="246">
        <v>44867</v>
      </c>
      <c r="AO1059" s="137" t="s">
        <v>4637</v>
      </c>
    </row>
    <row r="1060" s="97" customFormat="1" customHeight="1" spans="1:41">
      <c r="A1060" s="115" t="s">
        <v>8533</v>
      </c>
      <c r="B1060" s="111" t="s">
        <v>8534</v>
      </c>
      <c r="C1060" s="554" t="s">
        <v>8535</v>
      </c>
      <c r="D1060" s="113"/>
      <c r="E1060" s="113">
        <v>13526840108</v>
      </c>
      <c r="F1060" s="267">
        <v>1</v>
      </c>
      <c r="G1060" s="268">
        <v>1237</v>
      </c>
      <c r="H1060" s="274">
        <v>35.35</v>
      </c>
      <c r="I1060" s="274" t="s">
        <v>2657</v>
      </c>
      <c r="J1060" s="113" t="s">
        <v>8536</v>
      </c>
      <c r="K1060" s="116">
        <v>14.87</v>
      </c>
      <c r="L1060" s="266" t="s">
        <v>3009</v>
      </c>
      <c r="M1060" s="266" t="s">
        <v>3009</v>
      </c>
      <c r="N1060" s="113" t="s">
        <v>66</v>
      </c>
      <c r="O1060" s="113"/>
      <c r="P1060" s="113"/>
      <c r="Q1060" s="113">
        <v>49006.59</v>
      </c>
      <c r="R1060" s="113">
        <v>728728</v>
      </c>
      <c r="S1060" s="121">
        <v>368728</v>
      </c>
      <c r="T1060" s="292">
        <f t="shared" si="341"/>
        <v>360000</v>
      </c>
      <c r="U1060" s="113"/>
      <c r="V1060" s="113"/>
      <c r="W1060" s="113"/>
      <c r="X1060" s="113"/>
      <c r="Y1060" s="113"/>
      <c r="Z1060" s="113"/>
      <c r="AA1060" s="113"/>
      <c r="AB1060" s="113"/>
      <c r="AC1060" s="294"/>
      <c r="AD1060" s="83"/>
      <c r="AE1060" s="83"/>
      <c r="AF1060" s="83"/>
      <c r="AG1060" s="83"/>
      <c r="AH1060" s="83"/>
      <c r="AI1060" s="132">
        <f t="shared" si="339"/>
        <v>368728</v>
      </c>
      <c r="AJ1060" s="132">
        <f t="shared" si="342"/>
        <v>368728</v>
      </c>
      <c r="AK1060" s="133">
        <f t="shared" si="340"/>
        <v>0</v>
      </c>
      <c r="AL1060" s="83"/>
      <c r="AM1060" s="115" t="s">
        <v>974</v>
      </c>
      <c r="AN1060" s="246">
        <v>44867</v>
      </c>
      <c r="AO1060" s="137"/>
    </row>
    <row r="1061" s="97" customFormat="1" customHeight="1" spans="1:57">
      <c r="A1061" s="115" t="s">
        <v>8537</v>
      </c>
      <c r="B1061" s="111" t="s">
        <v>8538</v>
      </c>
      <c r="C1061" s="111" t="s">
        <v>8539</v>
      </c>
      <c r="D1061" s="121" t="s">
        <v>8540</v>
      </c>
      <c r="E1061" s="113">
        <v>18537199061</v>
      </c>
      <c r="F1061" s="267">
        <v>3</v>
      </c>
      <c r="G1061" s="268">
        <v>3492</v>
      </c>
      <c r="H1061" s="274">
        <v>21.25</v>
      </c>
      <c r="I1061" s="274" t="s">
        <v>2657</v>
      </c>
      <c r="J1061" s="113" t="s">
        <v>8541</v>
      </c>
      <c r="K1061" s="113">
        <v>19.42</v>
      </c>
      <c r="L1061" s="266" t="s">
        <v>5737</v>
      </c>
      <c r="M1061" s="266" t="s">
        <v>4567</v>
      </c>
      <c r="N1061" s="113" t="s">
        <v>2677</v>
      </c>
      <c r="O1061" s="113"/>
      <c r="P1061" s="113"/>
      <c r="Q1061" s="113">
        <v>30933.63</v>
      </c>
      <c r="R1061" s="113">
        <v>600731</v>
      </c>
      <c r="S1061" s="121">
        <v>300731</v>
      </c>
      <c r="T1061" s="292">
        <f t="shared" si="341"/>
        <v>300000</v>
      </c>
      <c r="U1061" s="113"/>
      <c r="V1061" s="113"/>
      <c r="W1061" s="113"/>
      <c r="X1061" s="113"/>
      <c r="Y1061" s="113"/>
      <c r="Z1061" s="113"/>
      <c r="AA1061" s="113"/>
      <c r="AB1061" s="113"/>
      <c r="AC1061" s="367"/>
      <c r="AD1061" s="83"/>
      <c r="AE1061" s="83"/>
      <c r="AF1061" s="83"/>
      <c r="AG1061" s="83"/>
      <c r="AH1061" s="83"/>
      <c r="AI1061" s="132">
        <f t="shared" si="339"/>
        <v>300731</v>
      </c>
      <c r="AJ1061" s="132">
        <f t="shared" si="342"/>
        <v>300731</v>
      </c>
      <c r="AK1061" s="133">
        <f t="shared" si="340"/>
        <v>0</v>
      </c>
      <c r="AL1061" s="83"/>
      <c r="AM1061" s="115" t="s">
        <v>974</v>
      </c>
      <c r="AN1061" s="246">
        <v>44867</v>
      </c>
      <c r="AO1061" s="137"/>
      <c r="AP1061" s="254"/>
      <c r="AQ1061" s="254"/>
      <c r="AR1061" s="254"/>
      <c r="AS1061" s="254"/>
      <c r="AT1061" s="254"/>
      <c r="AU1061" s="254"/>
      <c r="AV1061" s="254"/>
      <c r="AW1061" s="254"/>
      <c r="AX1061" s="254"/>
      <c r="AY1061" s="254"/>
      <c r="AZ1061" s="254"/>
      <c r="BA1061" s="254"/>
      <c r="BB1061" s="254"/>
      <c r="BC1061" s="254"/>
      <c r="BD1061" s="254"/>
      <c r="BE1061" s="254"/>
    </row>
    <row r="1062" s="97" customFormat="1" customHeight="1" spans="1:41">
      <c r="A1062" s="115" t="s">
        <v>8542</v>
      </c>
      <c r="B1062" s="111" t="s">
        <v>8543</v>
      </c>
      <c r="C1062" s="111" t="s">
        <v>8544</v>
      </c>
      <c r="D1062" s="121" t="s">
        <v>8545</v>
      </c>
      <c r="E1062" s="113">
        <v>13782733099</v>
      </c>
      <c r="F1062" s="267">
        <v>3</v>
      </c>
      <c r="G1062" s="268">
        <v>3382</v>
      </c>
      <c r="H1062" s="274">
        <v>16.28</v>
      </c>
      <c r="I1062" s="274" t="s">
        <v>2657</v>
      </c>
      <c r="J1062" s="113" t="s">
        <v>8546</v>
      </c>
      <c r="K1062" s="113">
        <v>15.62</v>
      </c>
      <c r="L1062" s="266" t="s">
        <v>3048</v>
      </c>
      <c r="M1062" s="266" t="s">
        <v>3131</v>
      </c>
      <c r="N1062" s="113" t="s">
        <v>66</v>
      </c>
      <c r="O1062" s="113"/>
      <c r="P1062" s="113"/>
      <c r="Q1062" s="113">
        <v>31509.09</v>
      </c>
      <c r="R1062" s="113">
        <v>492172</v>
      </c>
      <c r="S1062" s="121">
        <v>252172</v>
      </c>
      <c r="T1062" s="292">
        <f t="shared" si="341"/>
        <v>240000</v>
      </c>
      <c r="U1062" s="113"/>
      <c r="V1062" s="113"/>
      <c r="W1062" s="113"/>
      <c r="X1062" s="113"/>
      <c r="Y1062" s="113"/>
      <c r="Z1062" s="113"/>
      <c r="AA1062" s="113"/>
      <c r="AB1062" s="113"/>
      <c r="AC1062" s="294"/>
      <c r="AD1062" s="83"/>
      <c r="AE1062" s="83"/>
      <c r="AF1062" s="83"/>
      <c r="AG1062" s="83"/>
      <c r="AH1062" s="83"/>
      <c r="AI1062" s="132">
        <f t="shared" si="339"/>
        <v>252172</v>
      </c>
      <c r="AJ1062" s="132">
        <f t="shared" si="342"/>
        <v>252172</v>
      </c>
      <c r="AK1062" s="133">
        <f t="shared" si="340"/>
        <v>0</v>
      </c>
      <c r="AL1062" s="83"/>
      <c r="AM1062" s="115" t="s">
        <v>974</v>
      </c>
      <c r="AN1062" s="246">
        <v>44867</v>
      </c>
      <c r="AO1062" s="137"/>
    </row>
    <row r="1063" s="97" customFormat="1" customHeight="1" spans="1:57">
      <c r="A1063" s="106" t="s">
        <v>8547</v>
      </c>
      <c r="B1063" s="111" t="s">
        <v>8548</v>
      </c>
      <c r="C1063" s="554" t="s">
        <v>8549</v>
      </c>
      <c r="D1063" s="113" t="s">
        <v>8550</v>
      </c>
      <c r="E1063" s="113">
        <v>13113205566</v>
      </c>
      <c r="F1063" s="113">
        <v>1</v>
      </c>
      <c r="G1063" s="266">
        <v>1584</v>
      </c>
      <c r="H1063" s="116">
        <v>20.92</v>
      </c>
      <c r="I1063" s="116" t="s">
        <v>2657</v>
      </c>
      <c r="J1063" s="113" t="s">
        <v>8551</v>
      </c>
      <c r="K1063" s="116">
        <v>23.65</v>
      </c>
      <c r="L1063" s="266" t="s">
        <v>3686</v>
      </c>
      <c r="M1063" s="266" t="s">
        <v>3571</v>
      </c>
      <c r="N1063" s="113" t="s">
        <v>66</v>
      </c>
      <c r="O1063" s="113"/>
      <c r="P1063" s="113"/>
      <c r="Q1063" s="113">
        <v>47619.7</v>
      </c>
      <c r="R1063" s="113">
        <v>1126206</v>
      </c>
      <c r="S1063" s="121">
        <v>566206</v>
      </c>
      <c r="T1063" s="121">
        <f t="shared" si="341"/>
        <v>560000</v>
      </c>
      <c r="U1063" s="113"/>
      <c r="V1063" s="113"/>
      <c r="W1063" s="113"/>
      <c r="X1063" s="113"/>
      <c r="Y1063" s="113"/>
      <c r="Z1063" s="113"/>
      <c r="AA1063" s="113"/>
      <c r="AB1063" s="113" t="s">
        <v>7148</v>
      </c>
      <c r="AC1063" s="294"/>
      <c r="AD1063" s="83"/>
      <c r="AE1063" s="83"/>
      <c r="AF1063" s="83"/>
      <c r="AG1063" s="83"/>
      <c r="AH1063" s="83"/>
      <c r="AI1063" s="132">
        <f t="shared" si="339"/>
        <v>566206</v>
      </c>
      <c r="AJ1063" s="132">
        <f t="shared" si="342"/>
        <v>566206</v>
      </c>
      <c r="AK1063" s="133">
        <f t="shared" si="340"/>
        <v>0</v>
      </c>
      <c r="AL1063" s="83"/>
      <c r="AM1063" s="115" t="s">
        <v>974</v>
      </c>
      <c r="AN1063" s="246">
        <v>44868</v>
      </c>
      <c r="AO1063" s="137"/>
      <c r="AP1063" s="254"/>
      <c r="AQ1063" s="254"/>
      <c r="AR1063" s="254"/>
      <c r="AS1063" s="254"/>
      <c r="AT1063" s="254"/>
      <c r="AU1063" s="254"/>
      <c r="AV1063" s="254"/>
      <c r="AW1063" s="254"/>
      <c r="AX1063" s="254"/>
      <c r="AY1063" s="254"/>
      <c r="AZ1063" s="254"/>
      <c r="BA1063" s="254"/>
      <c r="BB1063" s="254"/>
      <c r="BC1063" s="254"/>
      <c r="BD1063" s="254"/>
      <c r="BE1063" s="254"/>
    </row>
    <row r="1064" s="97" customFormat="1" customHeight="1" spans="1:57">
      <c r="A1064" s="106" t="s">
        <v>8552</v>
      </c>
      <c r="B1064" s="111" t="s">
        <v>8553</v>
      </c>
      <c r="C1064" s="554" t="s">
        <v>8554</v>
      </c>
      <c r="D1064" s="113"/>
      <c r="E1064" s="113">
        <v>13519222275</v>
      </c>
      <c r="F1064" s="267">
        <v>1</v>
      </c>
      <c r="G1064" s="268">
        <v>1766</v>
      </c>
      <c r="H1064" s="274">
        <v>17.68</v>
      </c>
      <c r="I1064" s="274" t="s">
        <v>2657</v>
      </c>
      <c r="J1064" s="113" t="s">
        <v>8555</v>
      </c>
      <c r="K1064" s="113">
        <v>18.47</v>
      </c>
      <c r="L1064" s="266" t="s">
        <v>5272</v>
      </c>
      <c r="M1064" s="266" t="s">
        <v>3298</v>
      </c>
      <c r="N1064" s="113" t="s">
        <v>56</v>
      </c>
      <c r="O1064" s="113"/>
      <c r="P1064" s="113"/>
      <c r="Q1064" s="113">
        <v>46863.72</v>
      </c>
      <c r="R1064" s="113">
        <v>828551</v>
      </c>
      <c r="S1064" s="113">
        <v>828551</v>
      </c>
      <c r="T1064" s="292">
        <f t="shared" si="341"/>
        <v>0</v>
      </c>
      <c r="U1064" s="113"/>
      <c r="V1064" s="113">
        <v>1149</v>
      </c>
      <c r="W1064" s="113">
        <v>550</v>
      </c>
      <c r="X1064" s="113">
        <v>35323</v>
      </c>
      <c r="Y1064" s="113"/>
      <c r="Z1064" s="113"/>
      <c r="AA1064" s="113"/>
      <c r="AB1064" s="113"/>
      <c r="AC1064" s="294"/>
      <c r="AD1064" s="83"/>
      <c r="AE1064" s="83"/>
      <c r="AF1064" s="83"/>
      <c r="AG1064" s="83"/>
      <c r="AH1064" s="83"/>
      <c r="AI1064" s="132">
        <f t="shared" si="339"/>
        <v>865573</v>
      </c>
      <c r="AJ1064" s="132">
        <f t="shared" si="342"/>
        <v>865573</v>
      </c>
      <c r="AK1064" s="133">
        <f t="shared" si="340"/>
        <v>0</v>
      </c>
      <c r="AL1064" s="83"/>
      <c r="AM1064" s="115" t="s">
        <v>974</v>
      </c>
      <c r="AN1064" s="246">
        <v>44868</v>
      </c>
      <c r="AO1064" s="137"/>
      <c r="AP1064" s="254"/>
      <c r="AQ1064" s="254"/>
      <c r="AR1064" s="254"/>
      <c r="AS1064" s="254"/>
      <c r="AT1064" s="254"/>
      <c r="AU1064" s="254"/>
      <c r="AV1064" s="254"/>
      <c r="AW1064" s="254"/>
      <c r="AX1064" s="254"/>
      <c r="AY1064" s="254"/>
      <c r="AZ1064" s="254"/>
      <c r="BA1064" s="254"/>
      <c r="BB1064" s="254"/>
      <c r="BC1064" s="254"/>
      <c r="BD1064" s="254"/>
      <c r="BE1064" s="254"/>
    </row>
    <row r="1065" s="97" customFormat="1" customHeight="1" spans="1:41">
      <c r="A1065" s="106" t="s">
        <v>8556</v>
      </c>
      <c r="B1065" s="111" t="s">
        <v>8557</v>
      </c>
      <c r="C1065" s="554" t="s">
        <v>8558</v>
      </c>
      <c r="D1065" s="113" t="s">
        <v>8559</v>
      </c>
      <c r="E1065" s="113">
        <v>13333823632</v>
      </c>
      <c r="F1065" s="267">
        <v>1</v>
      </c>
      <c r="G1065" s="268">
        <v>1765</v>
      </c>
      <c r="H1065" s="274">
        <v>17.68</v>
      </c>
      <c r="I1065" s="274" t="s">
        <v>2657</v>
      </c>
      <c r="J1065" s="113" t="s">
        <v>8560</v>
      </c>
      <c r="K1065" s="113">
        <v>18.47</v>
      </c>
      <c r="L1065" s="266" t="s">
        <v>5272</v>
      </c>
      <c r="M1065" s="266" t="s">
        <v>3298</v>
      </c>
      <c r="N1065" s="113" t="s">
        <v>56</v>
      </c>
      <c r="O1065" s="113"/>
      <c r="P1065" s="113"/>
      <c r="Q1065" s="113">
        <v>46863.72</v>
      </c>
      <c r="R1065" s="113">
        <v>828551</v>
      </c>
      <c r="S1065" s="113">
        <v>828551</v>
      </c>
      <c r="T1065" s="292">
        <f t="shared" si="341"/>
        <v>0</v>
      </c>
      <c r="U1065" s="113"/>
      <c r="V1065" s="113">
        <v>1149</v>
      </c>
      <c r="W1065" s="113">
        <v>550</v>
      </c>
      <c r="X1065" s="113">
        <v>35323</v>
      </c>
      <c r="Y1065" s="113" t="s">
        <v>2669</v>
      </c>
      <c r="Z1065" s="113"/>
      <c r="AA1065" s="113"/>
      <c r="AB1065" s="113"/>
      <c r="AC1065" s="294"/>
      <c r="AD1065" s="83"/>
      <c r="AE1065" s="83"/>
      <c r="AF1065" s="83"/>
      <c r="AG1065" s="83"/>
      <c r="AH1065" s="83"/>
      <c r="AI1065" s="132">
        <f t="shared" si="339"/>
        <v>865573</v>
      </c>
      <c r="AJ1065" s="132">
        <f t="shared" si="342"/>
        <v>865573</v>
      </c>
      <c r="AK1065" s="133">
        <f t="shared" si="340"/>
        <v>0</v>
      </c>
      <c r="AL1065" s="83"/>
      <c r="AM1065" s="115" t="s">
        <v>974</v>
      </c>
      <c r="AN1065" s="246">
        <v>44868</v>
      </c>
      <c r="AO1065" s="137"/>
    </row>
    <row r="1066" s="97" customFormat="1" customHeight="1" spans="1:57">
      <c r="A1066" s="106" t="s">
        <v>8561</v>
      </c>
      <c r="B1066" s="296" t="s">
        <v>8562</v>
      </c>
      <c r="C1066" s="556" t="s">
        <v>8563</v>
      </c>
      <c r="D1066" s="267" t="s">
        <v>8564</v>
      </c>
      <c r="E1066" s="267">
        <v>13838516208</v>
      </c>
      <c r="F1066" s="267">
        <v>2</v>
      </c>
      <c r="G1066" s="268">
        <v>241</v>
      </c>
      <c r="H1066" s="274">
        <v>27.2</v>
      </c>
      <c r="I1066" s="274" t="s">
        <v>2665</v>
      </c>
      <c r="J1066" s="267" t="s">
        <v>8565</v>
      </c>
      <c r="K1066" s="326">
        <v>25.2</v>
      </c>
      <c r="L1066" s="268" t="s">
        <v>2711</v>
      </c>
      <c r="M1066" s="268" t="s">
        <v>3145</v>
      </c>
      <c r="N1066" s="267" t="s">
        <v>56</v>
      </c>
      <c r="O1066" s="267"/>
      <c r="P1066" s="267"/>
      <c r="Q1066" s="274">
        <v>28476.8253968254</v>
      </c>
      <c r="R1066" s="267">
        <v>774570</v>
      </c>
      <c r="S1066" s="292">
        <v>774570</v>
      </c>
      <c r="T1066" s="292">
        <f t="shared" si="341"/>
        <v>0</v>
      </c>
      <c r="U1066" s="267"/>
      <c r="V1066" s="267">
        <v>1768</v>
      </c>
      <c r="W1066" s="267">
        <v>550</v>
      </c>
      <c r="X1066" s="267"/>
      <c r="Y1066" s="267" t="s">
        <v>2669</v>
      </c>
      <c r="Z1066" s="267"/>
      <c r="AA1066" s="267"/>
      <c r="AB1066" s="267"/>
      <c r="AC1066" s="294"/>
      <c r="AD1066" s="83"/>
      <c r="AE1066" s="83"/>
      <c r="AF1066" s="83"/>
      <c r="AG1066" s="83"/>
      <c r="AH1066" s="83"/>
      <c r="AI1066" s="132">
        <f t="shared" si="339"/>
        <v>776888</v>
      </c>
      <c r="AJ1066" s="132">
        <f t="shared" si="342"/>
        <v>776888</v>
      </c>
      <c r="AK1066" s="133">
        <f t="shared" si="340"/>
        <v>0</v>
      </c>
      <c r="AL1066" s="83"/>
      <c r="AM1066" s="115" t="s">
        <v>974</v>
      </c>
      <c r="AN1066" s="246">
        <v>44868</v>
      </c>
      <c r="AO1066" s="137"/>
      <c r="AP1066" s="254"/>
      <c r="AQ1066" s="254"/>
      <c r="AR1066" s="254"/>
      <c r="AS1066" s="254"/>
      <c r="AT1066" s="254"/>
      <c r="AU1066" s="254"/>
      <c r="AV1066" s="254"/>
      <c r="AW1066" s="254"/>
      <c r="AX1066" s="254"/>
      <c r="AY1066" s="254"/>
      <c r="AZ1066" s="254"/>
      <c r="BA1066" s="254"/>
      <c r="BB1066" s="254"/>
      <c r="BC1066" s="254"/>
      <c r="BD1066" s="254"/>
      <c r="BE1066" s="254"/>
    </row>
    <row r="1067" s="97" customFormat="1" customHeight="1" spans="1:57">
      <c r="A1067" s="115" t="s">
        <v>8566</v>
      </c>
      <c r="B1067" s="111" t="s">
        <v>8567</v>
      </c>
      <c r="C1067" s="111" t="s">
        <v>8568</v>
      </c>
      <c r="D1067" s="113" t="s">
        <v>8569</v>
      </c>
      <c r="E1067" s="111">
        <v>15736727457</v>
      </c>
      <c r="F1067" s="267">
        <v>3</v>
      </c>
      <c r="G1067" s="268">
        <v>3694</v>
      </c>
      <c r="H1067" s="274">
        <v>7.5</v>
      </c>
      <c r="I1067" s="274" t="s">
        <v>2657</v>
      </c>
      <c r="J1067" s="113" t="s">
        <v>8570</v>
      </c>
      <c r="K1067" s="116">
        <v>7.19</v>
      </c>
      <c r="L1067" s="266" t="s">
        <v>8571</v>
      </c>
      <c r="M1067" s="266" t="s">
        <v>8572</v>
      </c>
      <c r="N1067" s="113" t="s">
        <v>66</v>
      </c>
      <c r="O1067" s="113"/>
      <c r="P1067" s="113"/>
      <c r="Q1067" s="113">
        <v>33482.13</v>
      </c>
      <c r="R1067" s="113">
        <v>251116</v>
      </c>
      <c r="S1067" s="121">
        <v>131116</v>
      </c>
      <c r="T1067" s="292">
        <f t="shared" si="341"/>
        <v>120000</v>
      </c>
      <c r="U1067" s="113"/>
      <c r="V1067" s="113">
        <v>487</v>
      </c>
      <c r="W1067" s="113">
        <v>550</v>
      </c>
      <c r="X1067" s="113"/>
      <c r="Y1067" s="113" t="s">
        <v>2669</v>
      </c>
      <c r="Z1067" s="113" t="s">
        <v>48</v>
      </c>
      <c r="AA1067" s="275">
        <v>44185</v>
      </c>
      <c r="AB1067" s="113"/>
      <c r="AC1067" s="113">
        <v>1232</v>
      </c>
      <c r="AD1067" s="122"/>
      <c r="AE1067" s="133"/>
      <c r="AF1067" s="115"/>
      <c r="AG1067" s="133"/>
      <c r="AH1067" s="133"/>
      <c r="AI1067" s="132">
        <f t="shared" si="339"/>
        <v>133385</v>
      </c>
      <c r="AJ1067" s="132">
        <f t="shared" si="342"/>
        <v>132153</v>
      </c>
      <c r="AK1067" s="133">
        <f t="shared" si="340"/>
        <v>1232</v>
      </c>
      <c r="AL1067" s="198"/>
      <c r="AM1067" s="133" t="s">
        <v>886</v>
      </c>
      <c r="AN1067" s="246">
        <v>44888</v>
      </c>
      <c r="AO1067" s="100"/>
      <c r="AP1067" s="96"/>
      <c r="AQ1067" s="96"/>
      <c r="AR1067" s="96"/>
      <c r="AS1067" s="96"/>
      <c r="AT1067" s="96"/>
      <c r="AU1067" s="96"/>
      <c r="AV1067" s="96"/>
      <c r="AW1067" s="96"/>
      <c r="AX1067" s="96"/>
      <c r="AY1067" s="96"/>
      <c r="AZ1067" s="96"/>
      <c r="BA1067" s="96"/>
      <c r="BB1067" s="96"/>
      <c r="BC1067" s="96"/>
      <c r="BD1067" s="96"/>
      <c r="BE1067" s="96"/>
    </row>
    <row r="1068" s="97" customFormat="1" customHeight="1" spans="1:57">
      <c r="A1068" s="106" t="s">
        <v>8573</v>
      </c>
      <c r="B1068" s="111" t="s">
        <v>8574</v>
      </c>
      <c r="C1068" s="554" t="s">
        <v>8575</v>
      </c>
      <c r="D1068" s="113" t="s">
        <v>3196</v>
      </c>
      <c r="E1068" s="113">
        <v>15637190669</v>
      </c>
      <c r="F1068" s="267">
        <v>1</v>
      </c>
      <c r="G1068" s="268">
        <v>1664</v>
      </c>
      <c r="H1068" s="274">
        <v>11.89</v>
      </c>
      <c r="I1068" s="274" t="s">
        <v>2657</v>
      </c>
      <c r="J1068" s="113" t="s">
        <v>8576</v>
      </c>
      <c r="K1068" s="113">
        <v>12.75</v>
      </c>
      <c r="L1068" s="266" t="s">
        <v>2868</v>
      </c>
      <c r="M1068" s="266" t="s">
        <v>4288</v>
      </c>
      <c r="N1068" s="113" t="s">
        <v>66</v>
      </c>
      <c r="O1068" s="113"/>
      <c r="P1068" s="113"/>
      <c r="Q1068" s="113">
        <v>48112.94</v>
      </c>
      <c r="R1068" s="113">
        <v>613440</v>
      </c>
      <c r="S1068" s="121">
        <v>313440</v>
      </c>
      <c r="T1068" s="292">
        <f t="shared" si="341"/>
        <v>300000</v>
      </c>
      <c r="U1068" s="113"/>
      <c r="V1068" s="113"/>
      <c r="W1068" s="113"/>
      <c r="X1068" s="113"/>
      <c r="Y1068" s="113"/>
      <c r="Z1068" s="113"/>
      <c r="AA1068" s="113"/>
      <c r="AB1068" s="113"/>
      <c r="AC1068" s="294"/>
      <c r="AD1068" s="83"/>
      <c r="AE1068" s="83"/>
      <c r="AF1068" s="83"/>
      <c r="AG1068" s="83"/>
      <c r="AH1068" s="83"/>
      <c r="AI1068" s="132">
        <f t="shared" ref="AI1068:AI1073" si="343">S1068+U1068+V1068+W1068+X1068+AC1068+AD1068+AE1068</f>
        <v>313440</v>
      </c>
      <c r="AJ1068" s="132">
        <f t="shared" ref="AJ1068:AJ1073" si="344">S1068+U1068+V1068+W1068+X1068</f>
        <v>313440</v>
      </c>
      <c r="AK1068" s="133">
        <f t="shared" ref="AK1068:AK1073" si="345">AI1068-AJ1068</f>
        <v>0</v>
      </c>
      <c r="AL1068" s="83"/>
      <c r="AM1068" s="115" t="s">
        <v>974</v>
      </c>
      <c r="AN1068" s="246">
        <v>44868</v>
      </c>
      <c r="AO1068" s="100"/>
      <c r="AP1068" s="93"/>
      <c r="AQ1068" s="93"/>
      <c r="AR1068" s="93"/>
      <c r="AS1068" s="93"/>
      <c r="AT1068" s="93"/>
      <c r="AU1068" s="93"/>
      <c r="AV1068" s="93"/>
      <c r="AW1068" s="93"/>
      <c r="AX1068" s="93"/>
      <c r="AY1068" s="93"/>
      <c r="AZ1068" s="93"/>
      <c r="BA1068" s="93"/>
      <c r="BB1068" s="93"/>
      <c r="BC1068" s="93"/>
      <c r="BD1068" s="93"/>
      <c r="BE1068" s="93"/>
    </row>
    <row r="1069" s="97" customFormat="1" customHeight="1" spans="1:57">
      <c r="A1069" s="106" t="s">
        <v>8577</v>
      </c>
      <c r="B1069" s="111" t="s">
        <v>8578</v>
      </c>
      <c r="C1069" s="554" t="s">
        <v>8579</v>
      </c>
      <c r="D1069" s="113" t="s">
        <v>8580</v>
      </c>
      <c r="E1069" s="113">
        <v>15890008991</v>
      </c>
      <c r="F1069" s="267">
        <v>4</v>
      </c>
      <c r="G1069" s="268">
        <v>4382</v>
      </c>
      <c r="H1069" s="274">
        <v>17</v>
      </c>
      <c r="I1069" s="274" t="s">
        <v>2657</v>
      </c>
      <c r="J1069" s="113" t="s">
        <v>8581</v>
      </c>
      <c r="K1069" s="113">
        <v>16.47</v>
      </c>
      <c r="L1069" s="266" t="s">
        <v>3008</v>
      </c>
      <c r="M1069" s="266" t="s">
        <v>5198</v>
      </c>
      <c r="N1069" s="113" t="s">
        <v>56</v>
      </c>
      <c r="O1069" s="113"/>
      <c r="P1069" s="113"/>
      <c r="Q1069" s="113">
        <v>26179.72</v>
      </c>
      <c r="R1069" s="113">
        <v>445055</v>
      </c>
      <c r="S1069" s="121">
        <v>445055</v>
      </c>
      <c r="T1069" s="292">
        <f t="shared" si="341"/>
        <v>0</v>
      </c>
      <c r="U1069" s="113"/>
      <c r="V1069" s="113">
        <v>1105</v>
      </c>
      <c r="W1069" s="113">
        <v>560</v>
      </c>
      <c r="X1069" s="113"/>
      <c r="Y1069" s="113" t="s">
        <v>2669</v>
      </c>
      <c r="Z1069" s="267" t="s">
        <v>48</v>
      </c>
      <c r="AA1069" s="304">
        <v>44053</v>
      </c>
      <c r="AB1069" s="113"/>
      <c r="AC1069" s="294"/>
      <c r="AD1069" s="83"/>
      <c r="AE1069" s="83"/>
      <c r="AF1069" s="83"/>
      <c r="AG1069" s="83"/>
      <c r="AH1069" s="83"/>
      <c r="AI1069" s="132">
        <f t="shared" si="343"/>
        <v>446720</v>
      </c>
      <c r="AJ1069" s="132">
        <f t="shared" si="344"/>
        <v>446720</v>
      </c>
      <c r="AK1069" s="133">
        <f t="shared" si="345"/>
        <v>0</v>
      </c>
      <c r="AL1069" s="83"/>
      <c r="AM1069" s="115" t="s">
        <v>974</v>
      </c>
      <c r="AN1069" s="246">
        <v>44868</v>
      </c>
      <c r="AO1069" s="100"/>
      <c r="AP1069" s="96"/>
      <c r="AQ1069" s="96"/>
      <c r="AR1069" s="96"/>
      <c r="AS1069" s="96"/>
      <c r="AT1069" s="96"/>
      <c r="AU1069" s="96"/>
      <c r="AV1069" s="96"/>
      <c r="AW1069" s="96"/>
      <c r="AX1069" s="96"/>
      <c r="AY1069" s="96"/>
      <c r="AZ1069" s="96"/>
      <c r="BA1069" s="96"/>
      <c r="BB1069" s="96"/>
      <c r="BC1069" s="96"/>
      <c r="BD1069" s="96"/>
      <c r="BE1069" s="96"/>
    </row>
    <row r="1070" s="97" customFormat="1" customHeight="1" spans="1:57">
      <c r="A1070" s="115" t="s">
        <v>8582</v>
      </c>
      <c r="B1070" s="111" t="s">
        <v>8583</v>
      </c>
      <c r="C1070" s="554" t="s">
        <v>8584</v>
      </c>
      <c r="D1070" s="113" t="s">
        <v>8585</v>
      </c>
      <c r="E1070" s="111">
        <v>15818236626</v>
      </c>
      <c r="F1070" s="267">
        <v>4</v>
      </c>
      <c r="G1070" s="268">
        <v>4511</v>
      </c>
      <c r="H1070" s="274">
        <v>9.27</v>
      </c>
      <c r="I1070" s="274" t="s">
        <v>2657</v>
      </c>
      <c r="J1070" s="113" t="s">
        <v>8586</v>
      </c>
      <c r="K1070" s="116">
        <v>11.27</v>
      </c>
      <c r="L1070" s="266" t="s">
        <v>3205</v>
      </c>
      <c r="M1070" s="266" t="s">
        <v>2739</v>
      </c>
      <c r="N1070" s="113" t="s">
        <v>66</v>
      </c>
      <c r="O1070" s="113"/>
      <c r="P1070" s="113"/>
      <c r="Q1070" s="113">
        <v>27191.13</v>
      </c>
      <c r="R1070" s="113">
        <v>306444</v>
      </c>
      <c r="S1070" s="121">
        <v>156444</v>
      </c>
      <c r="T1070" s="292">
        <f t="shared" si="341"/>
        <v>150000</v>
      </c>
      <c r="U1070" s="113"/>
      <c r="V1070" s="113"/>
      <c r="W1070" s="113"/>
      <c r="X1070" s="113"/>
      <c r="Y1070" s="113"/>
      <c r="Z1070" s="113"/>
      <c r="AA1070" s="275"/>
      <c r="AB1070" s="113"/>
      <c r="AC1070" s="113"/>
      <c r="AD1070" s="122"/>
      <c r="AE1070" s="133"/>
      <c r="AF1070" s="115"/>
      <c r="AG1070" s="133"/>
      <c r="AH1070" s="133"/>
      <c r="AI1070" s="132">
        <f t="shared" si="343"/>
        <v>156444</v>
      </c>
      <c r="AJ1070" s="132">
        <f t="shared" si="344"/>
        <v>156444</v>
      </c>
      <c r="AK1070" s="133">
        <f t="shared" si="345"/>
        <v>0</v>
      </c>
      <c r="AL1070" s="198"/>
      <c r="AM1070" s="133" t="s">
        <v>886</v>
      </c>
      <c r="AN1070" s="246">
        <v>44888</v>
      </c>
      <c r="AO1070" s="100"/>
      <c r="AP1070" s="96"/>
      <c r="AQ1070" s="96"/>
      <c r="AR1070" s="96"/>
      <c r="AS1070" s="96"/>
      <c r="AT1070" s="96"/>
      <c r="AU1070" s="96"/>
      <c r="AV1070" s="96"/>
      <c r="AW1070" s="96"/>
      <c r="AX1070" s="96"/>
      <c r="AY1070" s="96"/>
      <c r="AZ1070" s="96"/>
      <c r="BA1070" s="96"/>
      <c r="BB1070" s="96"/>
      <c r="BC1070" s="96"/>
      <c r="BD1070" s="96"/>
      <c r="BE1070" s="96"/>
    </row>
    <row r="1071" s="97" customFormat="1" customHeight="1" spans="1:57">
      <c r="A1071" s="106" t="s">
        <v>8587</v>
      </c>
      <c r="B1071" s="111" t="s">
        <v>8588</v>
      </c>
      <c r="C1071" s="111" t="s">
        <v>8589</v>
      </c>
      <c r="D1071" s="121"/>
      <c r="E1071" s="113">
        <v>15037106718</v>
      </c>
      <c r="F1071" s="267">
        <v>3</v>
      </c>
      <c r="G1071" s="268">
        <v>3265</v>
      </c>
      <c r="H1071" s="274">
        <v>21.33</v>
      </c>
      <c r="I1071" s="274" t="s">
        <v>2657</v>
      </c>
      <c r="J1071" s="113" t="s">
        <v>8590</v>
      </c>
      <c r="K1071" s="116">
        <v>21.79</v>
      </c>
      <c r="L1071" s="266" t="s">
        <v>3710</v>
      </c>
      <c r="M1071" s="266" t="s">
        <v>3710</v>
      </c>
      <c r="N1071" s="113" t="s">
        <v>56</v>
      </c>
      <c r="O1071" s="113"/>
      <c r="P1071" s="113"/>
      <c r="Q1071" s="113">
        <v>30241.03</v>
      </c>
      <c r="R1071" s="113">
        <v>658952</v>
      </c>
      <c r="S1071" s="121">
        <v>400000</v>
      </c>
      <c r="T1071" s="292">
        <f t="shared" si="341"/>
        <v>258952</v>
      </c>
      <c r="U1071" s="113"/>
      <c r="V1071" s="113"/>
      <c r="W1071" s="113"/>
      <c r="X1071" s="113"/>
      <c r="Y1071" s="113"/>
      <c r="Z1071" s="113"/>
      <c r="AA1071" s="113"/>
      <c r="AB1071" s="113"/>
      <c r="AC1071" s="294"/>
      <c r="AD1071" s="83"/>
      <c r="AE1071" s="83"/>
      <c r="AF1071" s="83"/>
      <c r="AG1071" s="83"/>
      <c r="AH1071" s="83"/>
      <c r="AI1071" s="132">
        <f t="shared" si="343"/>
        <v>400000</v>
      </c>
      <c r="AJ1071" s="132">
        <f t="shared" si="344"/>
        <v>400000</v>
      </c>
      <c r="AK1071" s="133">
        <f t="shared" si="345"/>
        <v>0</v>
      </c>
      <c r="AL1071" s="83"/>
      <c r="AM1071" s="115" t="s">
        <v>974</v>
      </c>
      <c r="AN1071" s="246">
        <v>44868</v>
      </c>
      <c r="AO1071" s="100"/>
      <c r="AP1071" s="96"/>
      <c r="AQ1071" s="96"/>
      <c r="AR1071" s="96"/>
      <c r="AS1071" s="96"/>
      <c r="AT1071" s="96"/>
      <c r="AU1071" s="96"/>
      <c r="AV1071" s="96"/>
      <c r="AW1071" s="96"/>
      <c r="AX1071" s="96"/>
      <c r="AY1071" s="96"/>
      <c r="AZ1071" s="96"/>
      <c r="BA1071" s="96"/>
      <c r="BB1071" s="96"/>
      <c r="BC1071" s="96"/>
      <c r="BD1071" s="96"/>
      <c r="BE1071" s="96"/>
    </row>
    <row r="1072" s="97" customFormat="1" customHeight="1" spans="1:57">
      <c r="A1072" s="346" t="s">
        <v>8591</v>
      </c>
      <c r="B1072" s="111" t="s">
        <v>8592</v>
      </c>
      <c r="C1072" s="111" t="s">
        <v>8593</v>
      </c>
      <c r="D1072" s="121" t="s">
        <v>8594</v>
      </c>
      <c r="E1072" s="113">
        <v>13253335862</v>
      </c>
      <c r="F1072" s="267">
        <v>3</v>
      </c>
      <c r="G1072" s="268">
        <v>3286</v>
      </c>
      <c r="H1072" s="274">
        <v>18.03</v>
      </c>
      <c r="I1072" s="274" t="s">
        <v>2657</v>
      </c>
      <c r="J1072" s="113" t="s">
        <v>8595</v>
      </c>
      <c r="K1072" s="116">
        <v>17.86</v>
      </c>
      <c r="L1072" s="266" t="s">
        <v>3009</v>
      </c>
      <c r="M1072" s="266" t="s">
        <v>3009</v>
      </c>
      <c r="N1072" s="113" t="s">
        <v>66</v>
      </c>
      <c r="O1072" s="113"/>
      <c r="P1072" s="113"/>
      <c r="Q1072" s="113">
        <v>31768.76</v>
      </c>
      <c r="R1072" s="113">
        <v>567390</v>
      </c>
      <c r="S1072" s="121">
        <v>287390</v>
      </c>
      <c r="T1072" s="292">
        <f t="shared" si="341"/>
        <v>280000</v>
      </c>
      <c r="U1072" s="113"/>
      <c r="V1072" s="113"/>
      <c r="W1072" s="113"/>
      <c r="X1072" s="113"/>
      <c r="Y1072" s="113"/>
      <c r="Z1072" s="113"/>
      <c r="AA1072" s="113"/>
      <c r="AB1072" s="113"/>
      <c r="AC1072" s="294"/>
      <c r="AD1072" s="83"/>
      <c r="AE1072" s="83"/>
      <c r="AF1072" s="83"/>
      <c r="AG1072" s="83"/>
      <c r="AH1072" s="83"/>
      <c r="AI1072" s="132">
        <f t="shared" si="343"/>
        <v>287390</v>
      </c>
      <c r="AJ1072" s="341"/>
      <c r="AK1072" s="133">
        <f t="shared" si="345"/>
        <v>287390</v>
      </c>
      <c r="AL1072" s="337" t="s">
        <v>7365</v>
      </c>
      <c r="AM1072" s="115" t="s">
        <v>974</v>
      </c>
      <c r="AN1072" s="246">
        <v>44868</v>
      </c>
      <c r="AO1072" s="100"/>
      <c r="AP1072" s="96"/>
      <c r="AQ1072" s="96"/>
      <c r="AR1072" s="96"/>
      <c r="AS1072" s="96"/>
      <c r="AT1072" s="96"/>
      <c r="AU1072" s="96"/>
      <c r="AV1072" s="96"/>
      <c r="AW1072" s="96"/>
      <c r="AX1072" s="96"/>
      <c r="AY1072" s="96"/>
      <c r="AZ1072" s="96"/>
      <c r="BA1072" s="96"/>
      <c r="BB1072" s="96"/>
      <c r="BC1072" s="96"/>
      <c r="BD1072" s="96"/>
      <c r="BE1072" s="96"/>
    </row>
    <row r="1073" s="97" customFormat="1" customHeight="1" spans="1:57">
      <c r="A1073" s="106" t="s">
        <v>8596</v>
      </c>
      <c r="B1073" s="111" t="s">
        <v>8597</v>
      </c>
      <c r="C1073" s="111" t="s">
        <v>8598</v>
      </c>
      <c r="D1073" s="121" t="s">
        <v>8599</v>
      </c>
      <c r="E1073" s="113">
        <v>15538112855</v>
      </c>
      <c r="F1073" s="267">
        <v>3</v>
      </c>
      <c r="G1073" s="268">
        <v>3216</v>
      </c>
      <c r="H1073" s="274">
        <v>14.22</v>
      </c>
      <c r="I1073" s="274" t="s">
        <v>2657</v>
      </c>
      <c r="J1073" s="113" t="s">
        <v>8600</v>
      </c>
      <c r="K1073" s="116">
        <v>12.04</v>
      </c>
      <c r="L1073" s="266" t="s">
        <v>3514</v>
      </c>
      <c r="M1073" s="266" t="s">
        <v>5198</v>
      </c>
      <c r="N1073" s="113" t="s">
        <v>66</v>
      </c>
      <c r="O1073" s="113"/>
      <c r="P1073" s="113"/>
      <c r="Q1073" s="113">
        <v>30609.49</v>
      </c>
      <c r="R1073" s="113">
        <v>435267</v>
      </c>
      <c r="S1073" s="121">
        <v>225267</v>
      </c>
      <c r="T1073" s="292">
        <f t="shared" si="341"/>
        <v>210000</v>
      </c>
      <c r="U1073" s="113"/>
      <c r="V1073" s="113">
        <v>924</v>
      </c>
      <c r="W1073" s="113">
        <v>550</v>
      </c>
      <c r="X1073" s="113"/>
      <c r="Y1073" s="113" t="s">
        <v>2669</v>
      </c>
      <c r="Z1073" s="113"/>
      <c r="AA1073" s="113"/>
      <c r="AB1073" s="113"/>
      <c r="AC1073" s="354">
        <v>1241</v>
      </c>
      <c r="AD1073" s="83"/>
      <c r="AE1073" s="83"/>
      <c r="AF1073" s="83"/>
      <c r="AG1073" s="83"/>
      <c r="AH1073" s="83"/>
      <c r="AI1073" s="132">
        <f t="shared" si="343"/>
        <v>227982</v>
      </c>
      <c r="AJ1073" s="132">
        <f t="shared" si="344"/>
        <v>226741</v>
      </c>
      <c r="AK1073" s="133">
        <f t="shared" si="345"/>
        <v>1241</v>
      </c>
      <c r="AL1073" s="115"/>
      <c r="AM1073" s="115" t="s">
        <v>974</v>
      </c>
      <c r="AN1073" s="246">
        <v>44868</v>
      </c>
      <c r="AO1073" s="100"/>
      <c r="AP1073" s="93"/>
      <c r="AQ1073" s="93"/>
      <c r="AR1073" s="93"/>
      <c r="AS1073" s="93"/>
      <c r="AT1073" s="93"/>
      <c r="AU1073" s="93"/>
      <c r="AV1073" s="93"/>
      <c r="AW1073" s="93"/>
      <c r="AX1073" s="93"/>
      <c r="AY1073" s="93"/>
      <c r="AZ1073" s="93"/>
      <c r="BA1073" s="93"/>
      <c r="BB1073" s="93"/>
      <c r="BC1073" s="93"/>
      <c r="BD1073" s="93"/>
      <c r="BE1073" s="93"/>
    </row>
    <row r="1074" s="97" customFormat="1" customHeight="1" spans="1:57">
      <c r="A1074" s="106" t="s">
        <v>8601</v>
      </c>
      <c r="B1074" s="111" t="s">
        <v>8602</v>
      </c>
      <c r="C1074" s="111" t="s">
        <v>8603</v>
      </c>
      <c r="D1074" s="113" t="s">
        <v>8604</v>
      </c>
      <c r="E1074" s="113" t="s">
        <v>8605</v>
      </c>
      <c r="F1074" s="267">
        <v>4</v>
      </c>
      <c r="G1074" s="268">
        <v>4498</v>
      </c>
      <c r="H1074" s="274">
        <v>16.96</v>
      </c>
      <c r="I1074" s="274" t="s">
        <v>2657</v>
      </c>
      <c r="J1074" s="113" t="s">
        <v>8606</v>
      </c>
      <c r="K1074" s="113">
        <v>16.68</v>
      </c>
      <c r="L1074" s="266" t="s">
        <v>2954</v>
      </c>
      <c r="M1074" s="266" t="s">
        <v>6599</v>
      </c>
      <c r="N1074" s="113" t="s">
        <v>66</v>
      </c>
      <c r="O1074" s="113"/>
      <c r="P1074" s="113"/>
      <c r="Q1074" s="113">
        <v>26874.46</v>
      </c>
      <c r="R1074" s="113">
        <v>455791</v>
      </c>
      <c r="S1074" s="121">
        <v>235791</v>
      </c>
      <c r="T1074" s="292">
        <f t="shared" si="341"/>
        <v>220000</v>
      </c>
      <c r="U1074" s="113"/>
      <c r="V1074" s="83"/>
      <c r="W1074" s="113"/>
      <c r="X1074" s="113"/>
      <c r="Y1074" s="113"/>
      <c r="Z1074" s="113"/>
      <c r="AA1074" s="113"/>
      <c r="AB1074" s="113" t="s">
        <v>8607</v>
      </c>
      <c r="AC1074" s="294"/>
      <c r="AD1074" s="83"/>
      <c r="AE1074" s="83"/>
      <c r="AF1074" s="83"/>
      <c r="AG1074" s="83"/>
      <c r="AH1074" s="83"/>
      <c r="AI1074" s="132">
        <f t="shared" ref="AI1074:AI1081" si="346">S1074+U1074+V1074+W1074+X1074+AC1074+AD1074+AE1074</f>
        <v>235791</v>
      </c>
      <c r="AJ1074" s="132">
        <f t="shared" ref="AJ1074:AJ1081" si="347">S1074+U1074+V1074+W1074+X1074</f>
        <v>235791</v>
      </c>
      <c r="AK1074" s="133">
        <f t="shared" ref="AK1074:AK1081" si="348">AI1074-AJ1074</f>
        <v>0</v>
      </c>
      <c r="AL1074" s="115"/>
      <c r="AM1074" s="115" t="s">
        <v>974</v>
      </c>
      <c r="AN1074" s="246">
        <v>44868</v>
      </c>
      <c r="AO1074" s="100"/>
      <c r="AP1074" s="93"/>
      <c r="AQ1074" s="93"/>
      <c r="AR1074" s="93"/>
      <c r="AS1074" s="93"/>
      <c r="AT1074" s="93"/>
      <c r="AU1074" s="93"/>
      <c r="AV1074" s="93"/>
      <c r="AW1074" s="93"/>
      <c r="AX1074" s="93"/>
      <c r="AY1074" s="93"/>
      <c r="AZ1074" s="93"/>
      <c r="BA1074" s="93"/>
      <c r="BB1074" s="93"/>
      <c r="BC1074" s="93"/>
      <c r="BD1074" s="93"/>
      <c r="BE1074" s="93"/>
    </row>
    <row r="1075" s="97" customFormat="1" customHeight="1" spans="1:57">
      <c r="A1075" s="115" t="s">
        <v>8608</v>
      </c>
      <c r="B1075" s="111" t="s">
        <v>8609</v>
      </c>
      <c r="C1075" s="554" t="s">
        <v>8610</v>
      </c>
      <c r="D1075" s="113" t="s">
        <v>8611</v>
      </c>
      <c r="E1075" s="113">
        <v>13838025879</v>
      </c>
      <c r="F1075" s="267">
        <v>4</v>
      </c>
      <c r="G1075" s="268">
        <v>4314</v>
      </c>
      <c r="H1075" s="274">
        <v>53.56</v>
      </c>
      <c r="I1075" s="274" t="s">
        <v>2657</v>
      </c>
      <c r="J1075" s="113" t="s">
        <v>8612</v>
      </c>
      <c r="K1075" s="116">
        <v>45.17</v>
      </c>
      <c r="L1075" s="266" t="s">
        <v>2890</v>
      </c>
      <c r="M1075" s="266" t="s">
        <v>2746</v>
      </c>
      <c r="N1075" s="113" t="s">
        <v>66</v>
      </c>
      <c r="O1075" s="113"/>
      <c r="P1075" s="113"/>
      <c r="Q1075" s="113">
        <v>25789.82</v>
      </c>
      <c r="R1075" s="113">
        <v>1164926</v>
      </c>
      <c r="S1075" s="121">
        <v>584926</v>
      </c>
      <c r="T1075" s="292">
        <f t="shared" si="341"/>
        <v>580000</v>
      </c>
      <c r="U1075" s="113"/>
      <c r="V1075" s="113"/>
      <c r="W1075" s="113"/>
      <c r="X1075" s="113"/>
      <c r="Y1075" s="113"/>
      <c r="Z1075" s="113"/>
      <c r="AA1075" s="275"/>
      <c r="AB1075" s="113"/>
      <c r="AC1075" s="113"/>
      <c r="AD1075" s="122"/>
      <c r="AE1075" s="133"/>
      <c r="AF1075" s="115"/>
      <c r="AG1075" s="133"/>
      <c r="AH1075" s="133"/>
      <c r="AI1075" s="132">
        <f t="shared" si="346"/>
        <v>584926</v>
      </c>
      <c r="AJ1075" s="132">
        <f t="shared" si="347"/>
        <v>584926</v>
      </c>
      <c r="AK1075" s="133">
        <f t="shared" si="348"/>
        <v>0</v>
      </c>
      <c r="AL1075" s="198"/>
      <c r="AM1075" s="133" t="s">
        <v>886</v>
      </c>
      <c r="AN1075" s="246">
        <v>44867</v>
      </c>
      <c r="AO1075" s="100"/>
      <c r="AP1075" s="93"/>
      <c r="AQ1075" s="93"/>
      <c r="AR1075" s="93"/>
      <c r="AS1075" s="93"/>
      <c r="AT1075" s="93"/>
      <c r="AU1075" s="93"/>
      <c r="AV1075" s="93"/>
      <c r="AW1075" s="93"/>
      <c r="AX1075" s="93"/>
      <c r="AY1075" s="93"/>
      <c r="AZ1075" s="93"/>
      <c r="BA1075" s="93"/>
      <c r="BB1075" s="93"/>
      <c r="BC1075" s="93"/>
      <c r="BD1075" s="93"/>
      <c r="BE1075" s="93"/>
    </row>
    <row r="1076" s="97" customFormat="1" customHeight="1" spans="1:57">
      <c r="A1076" s="106" t="s">
        <v>8613</v>
      </c>
      <c r="B1076" s="111" t="s">
        <v>8614</v>
      </c>
      <c r="C1076" s="111" t="s">
        <v>8615</v>
      </c>
      <c r="D1076" s="113" t="s">
        <v>8616</v>
      </c>
      <c r="E1076" s="113">
        <v>15890688679</v>
      </c>
      <c r="F1076" s="113">
        <v>3</v>
      </c>
      <c r="G1076" s="266">
        <v>3840</v>
      </c>
      <c r="H1076" s="116">
        <v>13.11</v>
      </c>
      <c r="I1076" s="116" t="s">
        <v>2657</v>
      </c>
      <c r="J1076" s="113" t="s">
        <v>8617</v>
      </c>
      <c r="K1076" s="116">
        <v>12.98</v>
      </c>
      <c r="L1076" s="266" t="s">
        <v>6031</v>
      </c>
      <c r="M1076" s="266" t="s">
        <v>4139</v>
      </c>
      <c r="N1076" s="113" t="s">
        <v>66</v>
      </c>
      <c r="O1076" s="113"/>
      <c r="P1076" s="113"/>
      <c r="Q1076" s="113">
        <v>32201.77</v>
      </c>
      <c r="R1076" s="113">
        <v>417979</v>
      </c>
      <c r="S1076" s="121">
        <v>217979</v>
      </c>
      <c r="T1076" s="121">
        <f t="shared" si="341"/>
        <v>200000</v>
      </c>
      <c r="U1076" s="113"/>
      <c r="V1076" s="113"/>
      <c r="W1076" s="113"/>
      <c r="X1076" s="113"/>
      <c r="Y1076" s="113"/>
      <c r="Z1076" s="113"/>
      <c r="AA1076" s="275"/>
      <c r="AB1076" s="113"/>
      <c r="AC1076" s="113"/>
      <c r="AD1076" s="122"/>
      <c r="AE1076" s="129"/>
      <c r="AF1076" s="106"/>
      <c r="AG1076" s="129"/>
      <c r="AH1076" s="129"/>
      <c r="AI1076" s="132">
        <f t="shared" si="346"/>
        <v>217979</v>
      </c>
      <c r="AJ1076" s="341"/>
      <c r="AK1076" s="133">
        <f t="shared" si="348"/>
        <v>217979</v>
      </c>
      <c r="AL1076" s="369" t="s">
        <v>8618</v>
      </c>
      <c r="AM1076" s="129" t="s">
        <v>886</v>
      </c>
      <c r="AN1076" s="290">
        <v>44867</v>
      </c>
      <c r="AO1076" s="100"/>
      <c r="AP1076" s="93"/>
      <c r="AQ1076" s="93"/>
      <c r="AR1076" s="93"/>
      <c r="AS1076" s="93"/>
      <c r="AT1076" s="93"/>
      <c r="AU1076" s="93"/>
      <c r="AV1076" s="93"/>
      <c r="AW1076" s="93"/>
      <c r="AX1076" s="93"/>
      <c r="AY1076" s="93"/>
      <c r="AZ1076" s="93"/>
      <c r="BA1076" s="93"/>
      <c r="BB1076" s="93"/>
      <c r="BC1076" s="93"/>
      <c r="BD1076" s="93"/>
      <c r="BE1076" s="93"/>
    </row>
    <row r="1077" s="97" customFormat="1" customHeight="1" spans="1:57">
      <c r="A1077" s="115" t="s">
        <v>8619</v>
      </c>
      <c r="B1077" s="111" t="s">
        <v>8620</v>
      </c>
      <c r="C1077" s="111" t="s">
        <v>8621</v>
      </c>
      <c r="D1077" s="113" t="s">
        <v>8622</v>
      </c>
      <c r="E1077" s="113">
        <v>15981863532</v>
      </c>
      <c r="F1077" s="267">
        <v>3</v>
      </c>
      <c r="G1077" s="268">
        <v>3480</v>
      </c>
      <c r="H1077" s="274">
        <v>15.4</v>
      </c>
      <c r="I1077" s="274" t="s">
        <v>2657</v>
      </c>
      <c r="J1077" s="113" t="s">
        <v>8623</v>
      </c>
      <c r="K1077" s="116">
        <v>11.88</v>
      </c>
      <c r="L1077" s="266" t="s">
        <v>3459</v>
      </c>
      <c r="M1077" s="266" t="s">
        <v>3459</v>
      </c>
      <c r="N1077" s="113" t="s">
        <v>66</v>
      </c>
      <c r="O1077" s="113"/>
      <c r="P1077" s="113"/>
      <c r="Q1077" s="113">
        <v>32103.7</v>
      </c>
      <c r="R1077" s="113">
        <v>381392</v>
      </c>
      <c r="S1077" s="121">
        <v>191392</v>
      </c>
      <c r="T1077" s="292">
        <f t="shared" si="341"/>
        <v>190000</v>
      </c>
      <c r="U1077" s="113"/>
      <c r="V1077" s="113"/>
      <c r="W1077" s="113"/>
      <c r="X1077" s="113"/>
      <c r="Y1077" s="113"/>
      <c r="Z1077" s="113"/>
      <c r="AA1077" s="275"/>
      <c r="AB1077" s="113"/>
      <c r="AC1077" s="113"/>
      <c r="AD1077" s="122"/>
      <c r="AE1077" s="133"/>
      <c r="AF1077" s="115"/>
      <c r="AG1077" s="133"/>
      <c r="AH1077" s="133"/>
      <c r="AI1077" s="132">
        <f t="shared" si="346"/>
        <v>191392</v>
      </c>
      <c r="AJ1077" s="132">
        <f t="shared" si="347"/>
        <v>191392</v>
      </c>
      <c r="AK1077" s="133">
        <f t="shared" si="348"/>
        <v>0</v>
      </c>
      <c r="AL1077" s="198"/>
      <c r="AM1077" s="133" t="s">
        <v>886</v>
      </c>
      <c r="AN1077" s="246">
        <v>44867</v>
      </c>
      <c r="AO1077" s="100"/>
      <c r="AP1077" s="96"/>
      <c r="AQ1077" s="96"/>
      <c r="AR1077" s="96"/>
      <c r="AS1077" s="96"/>
      <c r="AT1077" s="96"/>
      <c r="AU1077" s="96"/>
      <c r="AV1077" s="96"/>
      <c r="AW1077" s="96"/>
      <c r="AX1077" s="96"/>
      <c r="AY1077" s="96"/>
      <c r="AZ1077" s="96"/>
      <c r="BA1077" s="96"/>
      <c r="BB1077" s="96"/>
      <c r="BC1077" s="96"/>
      <c r="BD1077" s="96"/>
      <c r="BE1077" s="96"/>
    </row>
    <row r="1078" s="97" customFormat="1" customHeight="1" spans="1:57">
      <c r="A1078" s="115" t="s">
        <v>8624</v>
      </c>
      <c r="B1078" s="111" t="s">
        <v>8625</v>
      </c>
      <c r="C1078" s="111" t="s">
        <v>8626</v>
      </c>
      <c r="D1078" s="113" t="s">
        <v>8627</v>
      </c>
      <c r="E1078" s="113">
        <v>15303816819</v>
      </c>
      <c r="F1078" s="267">
        <v>3</v>
      </c>
      <c r="G1078" s="268">
        <v>3737</v>
      </c>
      <c r="H1078" s="274">
        <v>15.45</v>
      </c>
      <c r="I1078" s="274" t="s">
        <v>2657</v>
      </c>
      <c r="J1078" s="113" t="s">
        <v>8628</v>
      </c>
      <c r="K1078" s="116">
        <v>14.54</v>
      </c>
      <c r="L1078" s="266" t="s">
        <v>4587</v>
      </c>
      <c r="M1078" s="266" t="s">
        <v>4105</v>
      </c>
      <c r="N1078" s="113" t="s">
        <v>66</v>
      </c>
      <c r="O1078" s="113"/>
      <c r="P1078" s="113"/>
      <c r="Q1078" s="113">
        <v>32512.31</v>
      </c>
      <c r="R1078" s="113">
        <v>472729</v>
      </c>
      <c r="S1078" s="121">
        <v>242729</v>
      </c>
      <c r="T1078" s="292">
        <f t="shared" si="341"/>
        <v>230000</v>
      </c>
      <c r="U1078" s="113"/>
      <c r="V1078" s="113"/>
      <c r="W1078" s="113"/>
      <c r="X1078" s="113"/>
      <c r="Y1078" s="113"/>
      <c r="Z1078" s="113"/>
      <c r="AA1078" s="275"/>
      <c r="AB1078" s="113"/>
      <c r="AC1078" s="113"/>
      <c r="AD1078" s="122"/>
      <c r="AE1078" s="133"/>
      <c r="AF1078" s="115"/>
      <c r="AG1078" s="133"/>
      <c r="AH1078" s="133"/>
      <c r="AI1078" s="132">
        <f t="shared" si="346"/>
        <v>242729</v>
      </c>
      <c r="AJ1078" s="132">
        <f t="shared" si="347"/>
        <v>242729</v>
      </c>
      <c r="AK1078" s="133">
        <f t="shared" si="348"/>
        <v>0</v>
      </c>
      <c r="AL1078" s="198"/>
      <c r="AM1078" s="133" t="s">
        <v>886</v>
      </c>
      <c r="AN1078" s="246">
        <v>44867</v>
      </c>
      <c r="AO1078" s="100"/>
      <c r="AP1078" s="96"/>
      <c r="AQ1078" s="96"/>
      <c r="AR1078" s="96"/>
      <c r="AS1078" s="96"/>
      <c r="AT1078" s="96"/>
      <c r="AU1078" s="96"/>
      <c r="AV1078" s="96"/>
      <c r="AW1078" s="96"/>
      <c r="AX1078" s="96"/>
      <c r="AY1078" s="96"/>
      <c r="AZ1078" s="96"/>
      <c r="BA1078" s="96"/>
      <c r="BB1078" s="96"/>
      <c r="BC1078" s="96"/>
      <c r="BD1078" s="96"/>
      <c r="BE1078" s="96"/>
    </row>
    <row r="1079" s="97" customFormat="1" customHeight="1" spans="1:57">
      <c r="A1079" s="115" t="s">
        <v>8629</v>
      </c>
      <c r="B1079" s="111" t="s">
        <v>8630</v>
      </c>
      <c r="C1079" s="554" t="s">
        <v>8631</v>
      </c>
      <c r="D1079" s="113" t="s">
        <v>8632</v>
      </c>
      <c r="E1079" s="113">
        <v>15560130987</v>
      </c>
      <c r="F1079" s="267">
        <v>4</v>
      </c>
      <c r="G1079" s="268">
        <v>4358</v>
      </c>
      <c r="H1079" s="274">
        <v>19.1</v>
      </c>
      <c r="I1079" s="274" t="s">
        <v>2657</v>
      </c>
      <c r="J1079" s="113" t="s">
        <v>8633</v>
      </c>
      <c r="K1079" s="116">
        <v>17.81</v>
      </c>
      <c r="L1079" s="266" t="s">
        <v>3408</v>
      </c>
      <c r="M1079" s="266" t="s">
        <v>8634</v>
      </c>
      <c r="N1079" s="113" t="s">
        <v>56</v>
      </c>
      <c r="O1079" s="113"/>
      <c r="P1079" s="113"/>
      <c r="Q1079" s="113">
        <v>25245.99</v>
      </c>
      <c r="R1079" s="113">
        <v>482198</v>
      </c>
      <c r="S1079" s="121">
        <v>482198</v>
      </c>
      <c r="T1079" s="292">
        <f t="shared" si="341"/>
        <v>0</v>
      </c>
      <c r="U1079" s="113"/>
      <c r="V1079" s="113">
        <v>1241</v>
      </c>
      <c r="W1079" s="113">
        <v>550</v>
      </c>
      <c r="X1079" s="113"/>
      <c r="Y1079" s="113"/>
      <c r="Z1079" s="113"/>
      <c r="AA1079" s="275"/>
      <c r="AB1079" s="113"/>
      <c r="AC1079" s="113"/>
      <c r="AD1079" s="122"/>
      <c r="AE1079" s="133">
        <v>34358</v>
      </c>
      <c r="AF1079" s="115"/>
      <c r="AG1079" s="133"/>
      <c r="AH1079" s="133"/>
      <c r="AI1079" s="132">
        <f t="shared" si="346"/>
        <v>518347</v>
      </c>
      <c r="AJ1079" s="132">
        <f t="shared" si="347"/>
        <v>483989</v>
      </c>
      <c r="AK1079" s="133">
        <f t="shared" si="348"/>
        <v>34358</v>
      </c>
      <c r="AL1079" s="198" t="s">
        <v>8635</v>
      </c>
      <c r="AM1079" s="133" t="s">
        <v>886</v>
      </c>
      <c r="AN1079" s="246">
        <v>44867</v>
      </c>
      <c r="AO1079" s="100"/>
      <c r="AP1079" s="96"/>
      <c r="AQ1079" s="96"/>
      <c r="AR1079" s="96"/>
      <c r="AS1079" s="96"/>
      <c r="AT1079" s="96"/>
      <c r="AU1079" s="96"/>
      <c r="AV1079" s="96"/>
      <c r="AW1079" s="96"/>
      <c r="AX1079" s="96"/>
      <c r="AY1079" s="96"/>
      <c r="AZ1079" s="96"/>
      <c r="BA1079" s="96"/>
      <c r="BB1079" s="96"/>
      <c r="BC1079" s="96"/>
      <c r="BD1079" s="96"/>
      <c r="BE1079" s="96"/>
    </row>
    <row r="1080" s="97" customFormat="1" customHeight="1" spans="1:57">
      <c r="A1080" s="115" t="s">
        <v>8636</v>
      </c>
      <c r="B1080" s="111" t="s">
        <v>8637</v>
      </c>
      <c r="C1080" s="111" t="s">
        <v>8638</v>
      </c>
      <c r="D1080" s="113" t="s">
        <v>8639</v>
      </c>
      <c r="E1080" s="113" t="s">
        <v>8640</v>
      </c>
      <c r="F1080" s="267">
        <v>4</v>
      </c>
      <c r="G1080" s="268">
        <v>4122</v>
      </c>
      <c r="H1080" s="274">
        <v>31.58</v>
      </c>
      <c r="I1080" s="274" t="s">
        <v>2665</v>
      </c>
      <c r="J1080" s="113" t="s">
        <v>8641</v>
      </c>
      <c r="K1080" s="116">
        <v>32.43</v>
      </c>
      <c r="L1080" s="266" t="s">
        <v>4222</v>
      </c>
      <c r="M1080" s="266" t="s">
        <v>2941</v>
      </c>
      <c r="N1080" s="113" t="s">
        <v>56</v>
      </c>
      <c r="O1080" s="113"/>
      <c r="P1080" s="113"/>
      <c r="Q1080" s="113">
        <v>21092.78</v>
      </c>
      <c r="R1080" s="113">
        <v>666110</v>
      </c>
      <c r="S1080" s="121">
        <v>666110</v>
      </c>
      <c r="T1080" s="292">
        <f t="shared" si="341"/>
        <v>0</v>
      </c>
      <c r="U1080" s="113"/>
      <c r="V1080" s="113">
        <v>2052</v>
      </c>
      <c r="W1080" s="113">
        <v>560</v>
      </c>
      <c r="X1080" s="113">
        <v>15317</v>
      </c>
      <c r="Y1080" s="113" t="s">
        <v>2669</v>
      </c>
      <c r="Z1080" s="113" t="s">
        <v>48</v>
      </c>
      <c r="AA1080" s="275">
        <v>44022</v>
      </c>
      <c r="AB1080" s="113"/>
      <c r="AC1080" s="113"/>
      <c r="AD1080" s="122"/>
      <c r="AE1080" s="133"/>
      <c r="AF1080" s="115"/>
      <c r="AG1080" s="133"/>
      <c r="AH1080" s="133"/>
      <c r="AI1080" s="132">
        <f t="shared" ref="AI1080:AI1090" si="349">S1080+U1080+V1080+W1080+X1080+AC1080+AD1080+AE1080</f>
        <v>684039</v>
      </c>
      <c r="AJ1080" s="132">
        <f t="shared" ref="AJ1080:AJ1090" si="350">S1080+U1080+V1080+W1080+X1080</f>
        <v>684039</v>
      </c>
      <c r="AK1080" s="133">
        <f t="shared" ref="AK1080:AK1090" si="351">AI1080-AJ1080</f>
        <v>0</v>
      </c>
      <c r="AL1080" s="198"/>
      <c r="AM1080" s="133" t="s">
        <v>886</v>
      </c>
      <c r="AN1080" s="246">
        <v>44867</v>
      </c>
      <c r="AO1080" s="100"/>
      <c r="AP1080" s="96"/>
      <c r="AQ1080" s="96"/>
      <c r="AR1080" s="96"/>
      <c r="AS1080" s="96"/>
      <c r="AT1080" s="96"/>
      <c r="AU1080" s="96"/>
      <c r="AV1080" s="96"/>
      <c r="AW1080" s="96"/>
      <c r="AX1080" s="96"/>
      <c r="AY1080" s="96"/>
      <c r="AZ1080" s="96"/>
      <c r="BA1080" s="96"/>
      <c r="BB1080" s="96"/>
      <c r="BC1080" s="96"/>
      <c r="BD1080" s="96"/>
      <c r="BE1080" s="96"/>
    </row>
    <row r="1081" s="97" customFormat="1" customHeight="1" spans="1:57">
      <c r="A1081" s="106" t="s">
        <v>8642</v>
      </c>
      <c r="B1081" s="111" t="s">
        <v>8643</v>
      </c>
      <c r="C1081" s="554" t="s">
        <v>8644</v>
      </c>
      <c r="D1081" s="113" t="s">
        <v>8645</v>
      </c>
      <c r="E1081" s="113">
        <v>13838173738</v>
      </c>
      <c r="F1081" s="113">
        <v>4</v>
      </c>
      <c r="G1081" s="266">
        <v>4212</v>
      </c>
      <c r="H1081" s="116">
        <v>72.33</v>
      </c>
      <c r="I1081" s="116" t="s">
        <v>2657</v>
      </c>
      <c r="J1081" s="113" t="s">
        <v>8646</v>
      </c>
      <c r="K1081" s="116">
        <v>26.9</v>
      </c>
      <c r="L1081" s="266" t="s">
        <v>2897</v>
      </c>
      <c r="M1081" s="266" t="s">
        <v>2955</v>
      </c>
      <c r="N1081" s="113" t="s">
        <v>66</v>
      </c>
      <c r="O1081" s="113"/>
      <c r="P1081" s="113"/>
      <c r="Q1081" s="113">
        <v>26580.15</v>
      </c>
      <c r="R1081" s="113">
        <v>715006</v>
      </c>
      <c r="S1081" s="121">
        <v>365006</v>
      </c>
      <c r="T1081" s="121">
        <f t="shared" si="341"/>
        <v>350000</v>
      </c>
      <c r="U1081" s="113"/>
      <c r="V1081" s="113"/>
      <c r="W1081" s="113"/>
      <c r="X1081" s="113"/>
      <c r="Y1081" s="113"/>
      <c r="Z1081" s="113"/>
      <c r="AA1081" s="275"/>
      <c r="AB1081" s="113"/>
      <c r="AC1081" s="113"/>
      <c r="AD1081" s="122"/>
      <c r="AE1081" s="129"/>
      <c r="AF1081" s="106"/>
      <c r="AG1081" s="129"/>
      <c r="AH1081" s="129"/>
      <c r="AI1081" s="132">
        <f t="shared" si="349"/>
        <v>365006</v>
      </c>
      <c r="AJ1081" s="132">
        <f t="shared" si="350"/>
        <v>365006</v>
      </c>
      <c r="AK1081" s="133">
        <f t="shared" si="351"/>
        <v>0</v>
      </c>
      <c r="AL1081" s="370" t="s">
        <v>8647</v>
      </c>
      <c r="AM1081" s="129" t="s">
        <v>886</v>
      </c>
      <c r="AN1081" s="290">
        <v>44889</v>
      </c>
      <c r="AO1081" s="100"/>
      <c r="AP1081" s="96"/>
      <c r="AQ1081" s="96"/>
      <c r="AR1081" s="96"/>
      <c r="AS1081" s="96"/>
      <c r="AT1081" s="96"/>
      <c r="AU1081" s="96"/>
      <c r="AV1081" s="96"/>
      <c r="AW1081" s="96"/>
      <c r="AX1081" s="96"/>
      <c r="AY1081" s="96"/>
      <c r="AZ1081" s="96"/>
      <c r="BA1081" s="96"/>
      <c r="BB1081" s="96"/>
      <c r="BC1081" s="96"/>
      <c r="BD1081" s="96"/>
      <c r="BE1081" s="96"/>
    </row>
    <row r="1082" s="97" customFormat="1" customHeight="1" spans="1:57">
      <c r="A1082" s="106" t="s">
        <v>8648</v>
      </c>
      <c r="B1082" s="111" t="s">
        <v>8649</v>
      </c>
      <c r="C1082" s="554" t="s">
        <v>8650</v>
      </c>
      <c r="D1082" s="113" t="s">
        <v>8651</v>
      </c>
      <c r="E1082" s="113">
        <v>13783610707</v>
      </c>
      <c r="F1082" s="113">
        <v>4</v>
      </c>
      <c r="G1082" s="266">
        <v>4427</v>
      </c>
      <c r="H1082" s="116">
        <v>35.75</v>
      </c>
      <c r="I1082" s="116" t="s">
        <v>2657</v>
      </c>
      <c r="J1082" s="113" t="s">
        <v>8652</v>
      </c>
      <c r="K1082" s="116">
        <v>32.26</v>
      </c>
      <c r="L1082" s="266" t="s">
        <v>2842</v>
      </c>
      <c r="M1082" s="266" t="s">
        <v>8653</v>
      </c>
      <c r="N1082" s="113" t="s">
        <v>66</v>
      </c>
      <c r="O1082" s="113"/>
      <c r="P1082" s="113"/>
      <c r="Q1082" s="113">
        <v>26104.09</v>
      </c>
      <c r="R1082" s="113">
        <v>842118</v>
      </c>
      <c r="S1082" s="121">
        <v>422118</v>
      </c>
      <c r="T1082" s="121">
        <f t="shared" si="341"/>
        <v>420000</v>
      </c>
      <c r="U1082" s="113"/>
      <c r="V1082" s="113"/>
      <c r="W1082" s="113"/>
      <c r="X1082" s="113"/>
      <c r="Y1082" s="113"/>
      <c r="Z1082" s="113"/>
      <c r="AA1082" s="275"/>
      <c r="AB1082" s="113"/>
      <c r="AC1082" s="113"/>
      <c r="AD1082" s="122"/>
      <c r="AE1082" s="129"/>
      <c r="AF1082" s="106"/>
      <c r="AG1082" s="129"/>
      <c r="AH1082" s="129"/>
      <c r="AI1082" s="132">
        <f t="shared" si="349"/>
        <v>422118</v>
      </c>
      <c r="AJ1082" s="132">
        <f t="shared" si="350"/>
        <v>422118</v>
      </c>
      <c r="AK1082" s="133">
        <f t="shared" si="351"/>
        <v>0</v>
      </c>
      <c r="AL1082" s="370"/>
      <c r="AM1082" s="129" t="s">
        <v>886</v>
      </c>
      <c r="AN1082" s="290">
        <v>44867</v>
      </c>
      <c r="AO1082" s="100"/>
      <c r="AP1082" s="96"/>
      <c r="AQ1082" s="96"/>
      <c r="AR1082" s="96"/>
      <c r="AS1082" s="96"/>
      <c r="AT1082" s="96"/>
      <c r="AU1082" s="96"/>
      <c r="AV1082" s="96"/>
      <c r="AW1082" s="96"/>
      <c r="AX1082" s="96"/>
      <c r="AY1082" s="96"/>
      <c r="AZ1082" s="96"/>
      <c r="BA1082" s="96"/>
      <c r="BB1082" s="96"/>
      <c r="BC1082" s="96"/>
      <c r="BD1082" s="96"/>
      <c r="BE1082" s="96"/>
    </row>
    <row r="1083" s="97" customFormat="1" customHeight="1" spans="1:57">
      <c r="A1083" s="106" t="s">
        <v>8654</v>
      </c>
      <c r="B1083" s="111" t="s">
        <v>8655</v>
      </c>
      <c r="C1083" s="554" t="s">
        <v>8656</v>
      </c>
      <c r="D1083" s="113" t="s">
        <v>8657</v>
      </c>
      <c r="E1083" s="113">
        <v>13903841340</v>
      </c>
      <c r="F1083" s="113">
        <v>4</v>
      </c>
      <c r="G1083" s="266">
        <v>4322</v>
      </c>
      <c r="H1083" s="116">
        <v>54.72</v>
      </c>
      <c r="I1083" s="116" t="s">
        <v>2657</v>
      </c>
      <c r="J1083" s="113" t="s">
        <v>8658</v>
      </c>
      <c r="K1083" s="116">
        <v>48.65</v>
      </c>
      <c r="L1083" s="266" t="s">
        <v>3282</v>
      </c>
      <c r="M1083" s="266" t="s">
        <v>2785</v>
      </c>
      <c r="N1083" s="113" t="s">
        <v>2677</v>
      </c>
      <c r="O1083" s="113"/>
      <c r="P1083" s="113"/>
      <c r="Q1083" s="113">
        <v>25176.14</v>
      </c>
      <c r="R1083" s="113">
        <v>1224819</v>
      </c>
      <c r="S1083" s="121">
        <v>614819</v>
      </c>
      <c r="T1083" s="121">
        <f t="shared" si="341"/>
        <v>610000</v>
      </c>
      <c r="U1083" s="113"/>
      <c r="V1083" s="113"/>
      <c r="W1083" s="113"/>
      <c r="X1083" s="113"/>
      <c r="Y1083" s="113"/>
      <c r="Z1083" s="113"/>
      <c r="AA1083" s="275"/>
      <c r="AB1083" s="113"/>
      <c r="AC1083" s="113"/>
      <c r="AD1083" s="122"/>
      <c r="AE1083" s="129"/>
      <c r="AF1083" s="106"/>
      <c r="AG1083" s="129"/>
      <c r="AH1083" s="129"/>
      <c r="AI1083" s="132">
        <f t="shared" si="349"/>
        <v>614819</v>
      </c>
      <c r="AJ1083" s="132">
        <f t="shared" si="350"/>
        <v>614819</v>
      </c>
      <c r="AK1083" s="133">
        <f t="shared" si="351"/>
        <v>0</v>
      </c>
      <c r="AL1083" s="370"/>
      <c r="AM1083" s="129" t="s">
        <v>886</v>
      </c>
      <c r="AN1083" s="290">
        <v>44867</v>
      </c>
      <c r="AO1083" s="100"/>
      <c r="AP1083" s="96"/>
      <c r="AQ1083" s="96"/>
      <c r="AR1083" s="96"/>
      <c r="AS1083" s="96"/>
      <c r="AT1083" s="96"/>
      <c r="AU1083" s="96"/>
      <c r="AV1083" s="96"/>
      <c r="AW1083" s="96"/>
      <c r="AX1083" s="96"/>
      <c r="AY1083" s="96"/>
      <c r="AZ1083" s="96"/>
      <c r="BA1083" s="96"/>
      <c r="BB1083" s="96"/>
      <c r="BC1083" s="96"/>
      <c r="BD1083" s="96"/>
      <c r="BE1083" s="96"/>
    </row>
    <row r="1084" s="97" customFormat="1" customHeight="1" spans="1:57">
      <c r="A1084" s="106" t="s">
        <v>8659</v>
      </c>
      <c r="B1084" s="111" t="s">
        <v>8660</v>
      </c>
      <c r="C1084" s="111" t="s">
        <v>8661</v>
      </c>
      <c r="D1084" s="113" t="s">
        <v>8662</v>
      </c>
      <c r="E1084" s="113">
        <v>13673383835</v>
      </c>
      <c r="F1084" s="113">
        <v>3</v>
      </c>
      <c r="G1084" s="266">
        <v>3884</v>
      </c>
      <c r="H1084" s="116">
        <v>22.67</v>
      </c>
      <c r="I1084" s="116" t="s">
        <v>2657</v>
      </c>
      <c r="J1084" s="113" t="s">
        <v>8663</v>
      </c>
      <c r="K1084" s="116">
        <v>20.6</v>
      </c>
      <c r="L1084" s="266" t="s">
        <v>2675</v>
      </c>
      <c r="M1084" s="266" t="s">
        <v>3674</v>
      </c>
      <c r="N1084" s="113" t="s">
        <v>66</v>
      </c>
      <c r="O1084" s="113"/>
      <c r="P1084" s="113"/>
      <c r="Q1084" s="113">
        <v>30825.24</v>
      </c>
      <c r="R1084" s="113">
        <v>635000</v>
      </c>
      <c r="S1084" s="121">
        <v>325000</v>
      </c>
      <c r="T1084" s="121">
        <f t="shared" si="341"/>
        <v>310000</v>
      </c>
      <c r="U1084" s="113"/>
      <c r="V1084" s="113"/>
      <c r="W1084" s="113"/>
      <c r="X1084" s="113"/>
      <c r="Y1084" s="113"/>
      <c r="Z1084" s="113"/>
      <c r="AA1084" s="275"/>
      <c r="AB1084" s="113"/>
      <c r="AC1084" s="113"/>
      <c r="AD1084" s="122"/>
      <c r="AE1084" s="129"/>
      <c r="AF1084" s="106"/>
      <c r="AG1084" s="129"/>
      <c r="AH1084" s="129"/>
      <c r="AI1084" s="132">
        <f t="shared" si="349"/>
        <v>325000</v>
      </c>
      <c r="AJ1084" s="132">
        <f t="shared" si="350"/>
        <v>325000</v>
      </c>
      <c r="AK1084" s="133">
        <f t="shared" si="351"/>
        <v>0</v>
      </c>
      <c r="AL1084" s="370"/>
      <c r="AM1084" s="129" t="s">
        <v>886</v>
      </c>
      <c r="AN1084" s="290">
        <v>44867</v>
      </c>
      <c r="AO1084" s="100"/>
      <c r="AP1084" s="96"/>
      <c r="AQ1084" s="96"/>
      <c r="AR1084" s="96"/>
      <c r="AS1084" s="96"/>
      <c r="AT1084" s="96"/>
      <c r="AU1084" s="96"/>
      <c r="AV1084" s="96"/>
      <c r="AW1084" s="96"/>
      <c r="AX1084" s="96"/>
      <c r="AY1084" s="96"/>
      <c r="AZ1084" s="96"/>
      <c r="BA1084" s="96"/>
      <c r="BB1084" s="96"/>
      <c r="BC1084" s="96"/>
      <c r="BD1084" s="96"/>
      <c r="BE1084" s="96"/>
    </row>
    <row r="1085" s="97" customFormat="1" customHeight="1" spans="1:57">
      <c r="A1085" s="115" t="s">
        <v>8664</v>
      </c>
      <c r="B1085" s="111" t="s">
        <v>8665</v>
      </c>
      <c r="C1085" s="111" t="s">
        <v>8666</v>
      </c>
      <c r="D1085" s="113" t="s">
        <v>8667</v>
      </c>
      <c r="E1085" s="113">
        <v>13903956351</v>
      </c>
      <c r="F1085" s="267">
        <v>3</v>
      </c>
      <c r="G1085" s="268">
        <v>3594</v>
      </c>
      <c r="H1085" s="274">
        <v>15.97</v>
      </c>
      <c r="I1085" s="274" t="s">
        <v>2657</v>
      </c>
      <c r="J1085" s="113" t="s">
        <v>8668</v>
      </c>
      <c r="K1085" s="116">
        <v>14.71</v>
      </c>
      <c r="L1085" s="266" t="s">
        <v>4541</v>
      </c>
      <c r="M1085" s="266" t="s">
        <v>3001</v>
      </c>
      <c r="N1085" s="113" t="s">
        <v>66</v>
      </c>
      <c r="O1085" s="113"/>
      <c r="P1085" s="113"/>
      <c r="Q1085" s="113">
        <v>31271.24</v>
      </c>
      <c r="R1085" s="113">
        <v>460000</v>
      </c>
      <c r="S1085" s="121">
        <v>230000</v>
      </c>
      <c r="T1085" s="292">
        <f t="shared" si="341"/>
        <v>230000</v>
      </c>
      <c r="U1085" s="113"/>
      <c r="V1085" s="113"/>
      <c r="W1085" s="113"/>
      <c r="X1085" s="113"/>
      <c r="Y1085" s="113"/>
      <c r="Z1085" s="113"/>
      <c r="AA1085" s="275"/>
      <c r="AB1085" s="113"/>
      <c r="AC1085" s="113"/>
      <c r="AD1085" s="122"/>
      <c r="AE1085" s="133"/>
      <c r="AF1085" s="115"/>
      <c r="AG1085" s="133"/>
      <c r="AH1085" s="133"/>
      <c r="AI1085" s="132">
        <f t="shared" si="349"/>
        <v>230000</v>
      </c>
      <c r="AJ1085" s="132">
        <f t="shared" si="350"/>
        <v>230000</v>
      </c>
      <c r="AK1085" s="133">
        <f t="shared" si="351"/>
        <v>0</v>
      </c>
      <c r="AL1085" s="198"/>
      <c r="AM1085" s="133" t="s">
        <v>886</v>
      </c>
      <c r="AN1085" s="246">
        <v>44867</v>
      </c>
      <c r="AO1085" s="100"/>
      <c r="AP1085" s="96"/>
      <c r="AQ1085" s="96"/>
      <c r="AR1085" s="96"/>
      <c r="AS1085" s="96"/>
      <c r="AT1085" s="96"/>
      <c r="AU1085" s="96"/>
      <c r="AV1085" s="96"/>
      <c r="AW1085" s="96"/>
      <c r="AX1085" s="96"/>
      <c r="AY1085" s="96"/>
      <c r="AZ1085" s="96"/>
      <c r="BA1085" s="96"/>
      <c r="BB1085" s="96"/>
      <c r="BC1085" s="96"/>
      <c r="BD1085" s="96"/>
      <c r="BE1085" s="96"/>
    </row>
    <row r="1086" s="97" customFormat="1" customHeight="1" spans="1:57">
      <c r="A1086" s="115" t="s">
        <v>8669</v>
      </c>
      <c r="B1086" s="111" t="s">
        <v>8670</v>
      </c>
      <c r="C1086" s="111" t="s">
        <v>8671</v>
      </c>
      <c r="D1086" s="113" t="s">
        <v>8672</v>
      </c>
      <c r="E1086" s="113">
        <v>18703676951</v>
      </c>
      <c r="F1086" s="267">
        <v>3</v>
      </c>
      <c r="G1086" s="268">
        <v>3710</v>
      </c>
      <c r="H1086" s="274">
        <v>9.99</v>
      </c>
      <c r="I1086" s="274" t="s">
        <v>2657</v>
      </c>
      <c r="J1086" s="113" t="s">
        <v>8673</v>
      </c>
      <c r="K1086" s="116">
        <v>9.29</v>
      </c>
      <c r="L1086" s="266" t="s">
        <v>2746</v>
      </c>
      <c r="M1086" s="266" t="s">
        <v>2763</v>
      </c>
      <c r="N1086" s="113" t="s">
        <v>66</v>
      </c>
      <c r="O1086" s="113"/>
      <c r="P1086" s="113"/>
      <c r="Q1086" s="113">
        <v>32831</v>
      </c>
      <c r="R1086" s="113">
        <v>327982</v>
      </c>
      <c r="S1086" s="121">
        <v>167982</v>
      </c>
      <c r="T1086" s="292">
        <f t="shared" si="341"/>
        <v>160000</v>
      </c>
      <c r="U1086" s="113"/>
      <c r="V1086" s="113">
        <v>649</v>
      </c>
      <c r="W1086" s="113">
        <v>550</v>
      </c>
      <c r="X1086" s="113"/>
      <c r="Y1086" s="113" t="s">
        <v>2669</v>
      </c>
      <c r="Z1086" s="113"/>
      <c r="AA1086" s="275"/>
      <c r="AB1086" s="113"/>
      <c r="AC1086" s="113"/>
      <c r="AD1086" s="122"/>
      <c r="AE1086" s="133"/>
      <c r="AF1086" s="115"/>
      <c r="AG1086" s="133"/>
      <c r="AH1086" s="133"/>
      <c r="AI1086" s="132">
        <f t="shared" si="349"/>
        <v>169181</v>
      </c>
      <c r="AJ1086" s="341"/>
      <c r="AK1086" s="133">
        <f t="shared" si="351"/>
        <v>169181</v>
      </c>
      <c r="AL1086" s="369" t="s">
        <v>8618</v>
      </c>
      <c r="AM1086" s="133" t="s">
        <v>886</v>
      </c>
      <c r="AN1086" s="246">
        <v>44867</v>
      </c>
      <c r="AO1086" s="100"/>
      <c r="AP1086" s="96"/>
      <c r="AQ1086" s="96"/>
      <c r="AR1086" s="96"/>
      <c r="AS1086" s="96"/>
      <c r="AT1086" s="96"/>
      <c r="AU1086" s="96"/>
      <c r="AV1086" s="96"/>
      <c r="AW1086" s="96"/>
      <c r="AX1086" s="96"/>
      <c r="AY1086" s="96"/>
      <c r="AZ1086" s="96"/>
      <c r="BA1086" s="96"/>
      <c r="BB1086" s="96"/>
      <c r="BC1086" s="96"/>
      <c r="BD1086" s="96"/>
      <c r="BE1086" s="96"/>
    </row>
    <row r="1087" s="97" customFormat="1" customHeight="1" spans="1:57">
      <c r="A1087" s="115" t="s">
        <v>8674</v>
      </c>
      <c r="B1087" s="111" t="s">
        <v>8675</v>
      </c>
      <c r="C1087" s="554" t="s">
        <v>8676</v>
      </c>
      <c r="D1087" s="113" t="s">
        <v>8677</v>
      </c>
      <c r="E1087" s="113">
        <v>13903825742</v>
      </c>
      <c r="F1087" s="267">
        <v>4</v>
      </c>
      <c r="G1087" s="268">
        <v>4343</v>
      </c>
      <c r="H1087" s="274">
        <v>14.89</v>
      </c>
      <c r="I1087" s="274" t="s">
        <v>2657</v>
      </c>
      <c r="J1087" s="113" t="s">
        <v>8678</v>
      </c>
      <c r="K1087" s="116">
        <v>13.3</v>
      </c>
      <c r="L1087" s="266" t="s">
        <v>3408</v>
      </c>
      <c r="M1087" s="266" t="s">
        <v>6486</v>
      </c>
      <c r="N1087" s="113" t="s">
        <v>66</v>
      </c>
      <c r="O1087" s="113"/>
      <c r="P1087" s="113"/>
      <c r="Q1087" s="113">
        <v>26287.67</v>
      </c>
      <c r="R1087" s="113">
        <v>391423</v>
      </c>
      <c r="S1087" s="121">
        <v>201423</v>
      </c>
      <c r="T1087" s="292">
        <f t="shared" si="341"/>
        <v>190000</v>
      </c>
      <c r="U1087" s="113"/>
      <c r="V1087" s="113">
        <v>967</v>
      </c>
      <c r="W1087" s="113">
        <v>550</v>
      </c>
      <c r="X1087" s="113"/>
      <c r="Y1087" s="113" t="s">
        <v>2669</v>
      </c>
      <c r="Z1087" s="113" t="s">
        <v>48</v>
      </c>
      <c r="AA1087" s="275">
        <v>44184</v>
      </c>
      <c r="AB1087" s="113"/>
      <c r="AC1087" s="113"/>
      <c r="AD1087" s="122"/>
      <c r="AE1087" s="133"/>
      <c r="AF1087" s="115"/>
      <c r="AG1087" s="133"/>
      <c r="AH1087" s="133"/>
      <c r="AI1087" s="132">
        <f t="shared" si="349"/>
        <v>202940</v>
      </c>
      <c r="AJ1087" s="132">
        <f t="shared" si="350"/>
        <v>202940</v>
      </c>
      <c r="AK1087" s="133">
        <f t="shared" si="351"/>
        <v>0</v>
      </c>
      <c r="AL1087" s="198" t="s">
        <v>8679</v>
      </c>
      <c r="AM1087" s="133" t="s">
        <v>886</v>
      </c>
      <c r="AN1087" s="246">
        <v>44867</v>
      </c>
      <c r="AO1087" s="100"/>
      <c r="AP1087" s="96"/>
      <c r="AQ1087" s="96"/>
      <c r="AR1087" s="96"/>
      <c r="AS1087" s="96"/>
      <c r="AT1087" s="96"/>
      <c r="AU1087" s="96"/>
      <c r="AV1087" s="96"/>
      <c r="AW1087" s="96"/>
      <c r="AX1087" s="96"/>
      <c r="AY1087" s="96"/>
      <c r="AZ1087" s="96"/>
      <c r="BA1087" s="96"/>
      <c r="BB1087" s="96"/>
      <c r="BC1087" s="96"/>
      <c r="BD1087" s="96"/>
      <c r="BE1087" s="96"/>
    </row>
    <row r="1088" s="97" customFormat="1" customHeight="1" spans="1:57">
      <c r="A1088" s="115" t="s">
        <v>8680</v>
      </c>
      <c r="B1088" s="111" t="s">
        <v>8681</v>
      </c>
      <c r="C1088" s="111" t="s">
        <v>8682</v>
      </c>
      <c r="D1088" s="113" t="s">
        <v>8683</v>
      </c>
      <c r="E1088" s="113">
        <v>13333823279</v>
      </c>
      <c r="F1088" s="267">
        <v>3</v>
      </c>
      <c r="G1088" s="268">
        <v>3693</v>
      </c>
      <c r="H1088" s="274">
        <v>15.4</v>
      </c>
      <c r="I1088" s="274" t="s">
        <v>2657</v>
      </c>
      <c r="J1088" s="113" t="s">
        <v>8684</v>
      </c>
      <c r="K1088" s="116">
        <v>15.32</v>
      </c>
      <c r="L1088" s="266" t="s">
        <v>2955</v>
      </c>
      <c r="M1088" s="266" t="s">
        <v>2955</v>
      </c>
      <c r="N1088" s="113" t="s">
        <v>66</v>
      </c>
      <c r="O1088" s="113"/>
      <c r="P1088" s="113"/>
      <c r="Q1088" s="113">
        <v>32158.09</v>
      </c>
      <c r="R1088" s="113">
        <v>492662</v>
      </c>
      <c r="S1088" s="121">
        <v>252662</v>
      </c>
      <c r="T1088" s="292">
        <f t="shared" si="341"/>
        <v>240000</v>
      </c>
      <c r="U1088" s="113"/>
      <c r="V1088" s="113"/>
      <c r="W1088" s="113"/>
      <c r="X1088" s="113"/>
      <c r="Y1088" s="113"/>
      <c r="Z1088" s="113"/>
      <c r="AA1088" s="275"/>
      <c r="AB1088" s="113"/>
      <c r="AC1088" s="113"/>
      <c r="AD1088" s="122"/>
      <c r="AE1088" s="133"/>
      <c r="AF1088" s="115"/>
      <c r="AG1088" s="133" t="s">
        <v>8685</v>
      </c>
      <c r="AH1088" s="133"/>
      <c r="AI1088" s="132">
        <f t="shared" si="349"/>
        <v>252662</v>
      </c>
      <c r="AJ1088" s="132">
        <f t="shared" si="350"/>
        <v>252662</v>
      </c>
      <c r="AK1088" s="133">
        <f t="shared" si="351"/>
        <v>0</v>
      </c>
      <c r="AL1088" s="198"/>
      <c r="AM1088" s="133" t="s">
        <v>886</v>
      </c>
      <c r="AN1088" s="246">
        <v>44867</v>
      </c>
      <c r="AO1088" s="100"/>
      <c r="AP1088" s="96"/>
      <c r="AQ1088" s="96"/>
      <c r="AR1088" s="96"/>
      <c r="AS1088" s="96"/>
      <c r="AT1088" s="96"/>
      <c r="AU1088" s="96"/>
      <c r="AV1088" s="96"/>
      <c r="AW1088" s="96"/>
      <c r="AX1088" s="96"/>
      <c r="AY1088" s="96"/>
      <c r="AZ1088" s="96"/>
      <c r="BA1088" s="96"/>
      <c r="BB1088" s="96"/>
      <c r="BC1088" s="96"/>
      <c r="BD1088" s="96"/>
      <c r="BE1088" s="96"/>
    </row>
    <row r="1089" s="97" customFormat="1" customHeight="1" spans="1:57">
      <c r="A1089" s="115" t="s">
        <v>8686</v>
      </c>
      <c r="B1089" s="111" t="s">
        <v>8687</v>
      </c>
      <c r="C1089" s="111" t="s">
        <v>8688</v>
      </c>
      <c r="D1089" s="113" t="s">
        <v>8689</v>
      </c>
      <c r="E1089" s="113">
        <v>13938427198</v>
      </c>
      <c r="F1089" s="267">
        <v>3</v>
      </c>
      <c r="G1089" s="268">
        <v>3889</v>
      </c>
      <c r="H1089" s="274">
        <v>29.16</v>
      </c>
      <c r="I1089" s="274" t="s">
        <v>2657</v>
      </c>
      <c r="J1089" s="113" t="s">
        <v>8690</v>
      </c>
      <c r="K1089" s="116">
        <v>18.74</v>
      </c>
      <c r="L1089" s="266" t="s">
        <v>4389</v>
      </c>
      <c r="M1089" s="266" t="s">
        <v>8241</v>
      </c>
      <c r="N1089" s="113" t="s">
        <v>66</v>
      </c>
      <c r="O1089" s="113"/>
      <c r="P1089" s="113"/>
      <c r="Q1089" s="113">
        <v>31701.6</v>
      </c>
      <c r="R1089" s="113">
        <v>594088</v>
      </c>
      <c r="S1089" s="121">
        <v>304088</v>
      </c>
      <c r="T1089" s="292">
        <f t="shared" si="341"/>
        <v>290000</v>
      </c>
      <c r="U1089" s="113"/>
      <c r="V1089" s="113"/>
      <c r="W1089" s="113"/>
      <c r="X1089" s="113"/>
      <c r="Y1089" s="113"/>
      <c r="Z1089" s="113"/>
      <c r="AA1089" s="275"/>
      <c r="AB1089" s="113"/>
      <c r="AC1089" s="113"/>
      <c r="AD1089" s="122"/>
      <c r="AE1089" s="133"/>
      <c r="AF1089" s="115"/>
      <c r="AG1089" s="133"/>
      <c r="AH1089" s="133"/>
      <c r="AI1089" s="132">
        <f t="shared" si="349"/>
        <v>304088</v>
      </c>
      <c r="AJ1089" s="132">
        <f t="shared" si="350"/>
        <v>304088</v>
      </c>
      <c r="AK1089" s="133">
        <f t="shared" si="351"/>
        <v>0</v>
      </c>
      <c r="AL1089" s="198"/>
      <c r="AM1089" s="133" t="s">
        <v>886</v>
      </c>
      <c r="AN1089" s="246">
        <v>44867</v>
      </c>
      <c r="AO1089" s="100"/>
      <c r="AP1089" s="96"/>
      <c r="AQ1089" s="96"/>
      <c r="AR1089" s="96"/>
      <c r="AS1089" s="96"/>
      <c r="AT1089" s="96"/>
      <c r="AU1089" s="96"/>
      <c r="AV1089" s="96"/>
      <c r="AW1089" s="96"/>
      <c r="AX1089" s="96"/>
      <c r="AY1089" s="96"/>
      <c r="AZ1089" s="96"/>
      <c r="BA1089" s="96"/>
      <c r="BB1089" s="96"/>
      <c r="BC1089" s="96"/>
      <c r="BD1089" s="96"/>
      <c r="BE1089" s="96"/>
    </row>
    <row r="1090" s="97" customFormat="1" customHeight="1" spans="1:57">
      <c r="A1090" s="115" t="s">
        <v>8691</v>
      </c>
      <c r="B1090" s="111" t="s">
        <v>8692</v>
      </c>
      <c r="C1090" s="111" t="s">
        <v>8693</v>
      </c>
      <c r="D1090" s="113"/>
      <c r="E1090" s="113">
        <v>13803993497</v>
      </c>
      <c r="F1090" s="267">
        <v>3</v>
      </c>
      <c r="G1090" s="268">
        <v>3987</v>
      </c>
      <c r="H1090" s="274">
        <v>17.82</v>
      </c>
      <c r="I1090" s="274" t="s">
        <v>2657</v>
      </c>
      <c r="J1090" s="113" t="s">
        <v>8694</v>
      </c>
      <c r="K1090" s="116">
        <v>13.3</v>
      </c>
      <c r="L1090" s="266" t="s">
        <v>4873</v>
      </c>
      <c r="M1090" s="266"/>
      <c r="N1090" s="113" t="s">
        <v>56</v>
      </c>
      <c r="O1090" s="113"/>
      <c r="P1090" s="113"/>
      <c r="Q1090" s="113"/>
      <c r="R1090" s="113"/>
      <c r="S1090" s="121">
        <v>20000</v>
      </c>
      <c r="T1090" s="292">
        <f t="shared" si="341"/>
        <v>-20000</v>
      </c>
      <c r="U1090" s="113"/>
      <c r="V1090" s="113"/>
      <c r="W1090" s="113"/>
      <c r="X1090" s="113"/>
      <c r="Y1090" s="113"/>
      <c r="Z1090" s="113"/>
      <c r="AA1090" s="275"/>
      <c r="AB1090" s="113"/>
      <c r="AC1090" s="113"/>
      <c r="AD1090" s="122"/>
      <c r="AE1090" s="133"/>
      <c r="AF1090" s="115"/>
      <c r="AG1090" s="133"/>
      <c r="AH1090" s="133"/>
      <c r="AI1090" s="132">
        <f t="shared" si="349"/>
        <v>20000</v>
      </c>
      <c r="AJ1090" s="132">
        <f t="shared" si="350"/>
        <v>20000</v>
      </c>
      <c r="AK1090" s="133">
        <f t="shared" si="351"/>
        <v>0</v>
      </c>
      <c r="AL1090" s="198"/>
      <c r="AM1090" s="133" t="s">
        <v>886</v>
      </c>
      <c r="AN1090" s="246">
        <v>44867</v>
      </c>
      <c r="AO1090" s="100"/>
      <c r="AP1090" s="96"/>
      <c r="AQ1090" s="96"/>
      <c r="AR1090" s="96"/>
      <c r="AS1090" s="96"/>
      <c r="AT1090" s="96"/>
      <c r="AU1090" s="96"/>
      <c r="AV1090" s="96"/>
      <c r="AW1090" s="96"/>
      <c r="AX1090" s="96"/>
      <c r="AY1090" s="96"/>
      <c r="AZ1090" s="96"/>
      <c r="BA1090" s="96"/>
      <c r="BB1090" s="96"/>
      <c r="BC1090" s="96"/>
      <c r="BD1090" s="96"/>
      <c r="BE1090" s="96"/>
    </row>
    <row r="1091" s="97" customFormat="1" customHeight="1" spans="1:57">
      <c r="A1091" s="115" t="s">
        <v>8695</v>
      </c>
      <c r="B1091" s="111" t="s">
        <v>8696</v>
      </c>
      <c r="C1091" s="554" t="s">
        <v>8697</v>
      </c>
      <c r="D1091" s="113" t="s">
        <v>8698</v>
      </c>
      <c r="E1091" s="113">
        <v>15737156519</v>
      </c>
      <c r="F1091" s="267">
        <v>4</v>
      </c>
      <c r="G1091" s="268">
        <v>4250</v>
      </c>
      <c r="H1091" s="274">
        <v>27.25</v>
      </c>
      <c r="I1091" s="274" t="s">
        <v>2657</v>
      </c>
      <c r="J1091" s="113" t="s">
        <v>8699</v>
      </c>
      <c r="K1091" s="116">
        <v>23.67</v>
      </c>
      <c r="L1091" s="266" t="s">
        <v>3522</v>
      </c>
      <c r="M1091" s="266" t="s">
        <v>2691</v>
      </c>
      <c r="N1091" s="113" t="s">
        <v>66</v>
      </c>
      <c r="O1091" s="113"/>
      <c r="P1091" s="113"/>
      <c r="Q1091" s="113">
        <v>25787.24</v>
      </c>
      <c r="R1091" s="113">
        <v>610384</v>
      </c>
      <c r="S1091" s="121">
        <v>310384</v>
      </c>
      <c r="T1091" s="292">
        <f t="shared" si="341"/>
        <v>300000</v>
      </c>
      <c r="U1091" s="113"/>
      <c r="V1091" s="113"/>
      <c r="W1091" s="113"/>
      <c r="X1091" s="113"/>
      <c r="Y1091" s="113"/>
      <c r="Z1091" s="113"/>
      <c r="AA1091" s="275"/>
      <c r="AB1091" s="113" t="s">
        <v>3925</v>
      </c>
      <c r="AD1091" s="122"/>
      <c r="AE1091" s="113">
        <f>1771+44639</f>
        <v>46410</v>
      </c>
      <c r="AF1091" s="115"/>
      <c r="AG1091" s="133"/>
      <c r="AH1091" s="133"/>
      <c r="AI1091" s="132">
        <f t="shared" ref="AI1091:AI1102" si="352">S1091+U1091+V1091+W1091+X1091+AC1091+AD1091+AE1091</f>
        <v>356794</v>
      </c>
      <c r="AJ1091" s="132">
        <f t="shared" ref="AJ1091:AJ1100" si="353">S1091+U1091+V1091+W1091+X1091</f>
        <v>310384</v>
      </c>
      <c r="AK1091" s="133">
        <f t="shared" ref="AK1091:AK1102" si="354">AI1091-AJ1091</f>
        <v>46410</v>
      </c>
      <c r="AL1091" s="198" t="s">
        <v>8700</v>
      </c>
      <c r="AM1091" s="133" t="s">
        <v>886</v>
      </c>
      <c r="AN1091" s="246">
        <v>44867</v>
      </c>
      <c r="AO1091" s="100"/>
      <c r="AP1091" s="96"/>
      <c r="AQ1091" s="96"/>
      <c r="AR1091" s="96"/>
      <c r="AS1091" s="96"/>
      <c r="AT1091" s="96"/>
      <c r="AU1091" s="96"/>
      <c r="AV1091" s="96"/>
      <c r="AW1091" s="96"/>
      <c r="AX1091" s="96"/>
      <c r="AY1091" s="96"/>
      <c r="AZ1091" s="96"/>
      <c r="BA1091" s="96"/>
      <c r="BB1091" s="96"/>
      <c r="BC1091" s="96"/>
      <c r="BD1091" s="96"/>
      <c r="BE1091" s="96"/>
    </row>
    <row r="1092" s="97" customFormat="1" customHeight="1" spans="1:57">
      <c r="A1092" s="115" t="s">
        <v>8701</v>
      </c>
      <c r="B1092" s="111" t="s">
        <v>8702</v>
      </c>
      <c r="C1092" s="111" t="s">
        <v>8703</v>
      </c>
      <c r="D1092" s="113" t="s">
        <v>8704</v>
      </c>
      <c r="E1092" s="113">
        <v>13623859306</v>
      </c>
      <c r="F1092" s="267">
        <v>3</v>
      </c>
      <c r="G1092" s="268">
        <v>3600</v>
      </c>
      <c r="H1092" s="274">
        <v>18.16</v>
      </c>
      <c r="I1092" s="274" t="s">
        <v>2657</v>
      </c>
      <c r="J1092" s="113" t="s">
        <v>8705</v>
      </c>
      <c r="K1092" s="116">
        <v>17.53</v>
      </c>
      <c r="L1092" s="266" t="s">
        <v>2890</v>
      </c>
      <c r="M1092" s="266" t="s">
        <v>5064</v>
      </c>
      <c r="N1092" s="113" t="s">
        <v>56</v>
      </c>
      <c r="O1092" s="113"/>
      <c r="P1092" s="113"/>
      <c r="Q1092" s="113">
        <v>31134.63</v>
      </c>
      <c r="R1092" s="113">
        <v>565405</v>
      </c>
      <c r="S1092" s="121">
        <v>565405</v>
      </c>
      <c r="T1092" s="292">
        <f t="shared" si="341"/>
        <v>0</v>
      </c>
      <c r="U1092" s="113"/>
      <c r="V1092" s="113">
        <v>1180</v>
      </c>
      <c r="W1092" s="113">
        <v>550</v>
      </c>
      <c r="X1092" s="113"/>
      <c r="Y1092" s="113" t="s">
        <v>2669</v>
      </c>
      <c r="Z1092" s="113" t="s">
        <v>48</v>
      </c>
      <c r="AA1092" s="275">
        <v>44059</v>
      </c>
      <c r="AB1092" s="113"/>
      <c r="AC1092" s="113"/>
      <c r="AD1092" s="122"/>
      <c r="AE1092" s="133"/>
      <c r="AF1092" s="115"/>
      <c r="AG1092" s="133"/>
      <c r="AH1092" s="133"/>
      <c r="AI1092" s="132">
        <f t="shared" si="352"/>
        <v>567135</v>
      </c>
      <c r="AJ1092" s="132">
        <f t="shared" si="353"/>
        <v>567135</v>
      </c>
      <c r="AK1092" s="133">
        <f t="shared" si="354"/>
        <v>0</v>
      </c>
      <c r="AL1092" s="198"/>
      <c r="AM1092" s="133" t="s">
        <v>886</v>
      </c>
      <c r="AN1092" s="246">
        <v>44867</v>
      </c>
      <c r="AO1092" s="100"/>
      <c r="AP1092" s="96"/>
      <c r="AQ1092" s="96"/>
      <c r="AR1092" s="96"/>
      <c r="AS1092" s="96"/>
      <c r="AT1092" s="96"/>
      <c r="AU1092" s="96"/>
      <c r="AV1092" s="96"/>
      <c r="AW1092" s="96"/>
      <c r="AX1092" s="96"/>
      <c r="AY1092" s="96"/>
      <c r="AZ1092" s="96"/>
      <c r="BA1092" s="96"/>
      <c r="BB1092" s="96"/>
      <c r="BC1092" s="96"/>
      <c r="BD1092" s="96"/>
      <c r="BE1092" s="96"/>
    </row>
    <row r="1093" s="97" customFormat="1" customHeight="1" spans="1:57">
      <c r="A1093" s="115" t="s">
        <v>8706</v>
      </c>
      <c r="B1093" s="111" t="s">
        <v>8707</v>
      </c>
      <c r="C1093" s="554" t="s">
        <v>8708</v>
      </c>
      <c r="D1093" s="113" t="s">
        <v>8709</v>
      </c>
      <c r="E1093" s="113">
        <v>18703992655</v>
      </c>
      <c r="F1093" s="267">
        <v>4</v>
      </c>
      <c r="G1093" s="268">
        <v>4366</v>
      </c>
      <c r="H1093" s="274">
        <v>13.54</v>
      </c>
      <c r="I1093" s="274" t="s">
        <v>2657</v>
      </c>
      <c r="J1093" s="113" t="s">
        <v>8710</v>
      </c>
      <c r="K1093" s="116">
        <v>10.98</v>
      </c>
      <c r="L1093" s="266" t="s">
        <v>3042</v>
      </c>
      <c r="M1093" s="266" t="s">
        <v>7717</v>
      </c>
      <c r="N1093" s="113" t="s">
        <v>66</v>
      </c>
      <c r="O1093" s="113"/>
      <c r="P1093" s="113"/>
      <c r="Q1093" s="113">
        <v>27483.06</v>
      </c>
      <c r="R1093" s="113">
        <v>301764</v>
      </c>
      <c r="S1093" s="121">
        <v>151764</v>
      </c>
      <c r="T1093" s="292">
        <f t="shared" si="341"/>
        <v>150000</v>
      </c>
      <c r="U1093" s="113"/>
      <c r="V1093" s="113"/>
      <c r="W1093" s="113"/>
      <c r="X1093" s="113"/>
      <c r="Y1093" s="113"/>
      <c r="Z1093" s="113"/>
      <c r="AA1093" s="275"/>
      <c r="AB1093" s="113"/>
      <c r="AC1093" s="113"/>
      <c r="AD1093" s="122"/>
      <c r="AE1093" s="133"/>
      <c r="AF1093" s="115"/>
      <c r="AG1093" s="133"/>
      <c r="AH1093" s="133"/>
      <c r="AI1093" s="132">
        <f t="shared" si="352"/>
        <v>151764</v>
      </c>
      <c r="AJ1093" s="132">
        <f t="shared" si="353"/>
        <v>151764</v>
      </c>
      <c r="AK1093" s="133">
        <f t="shared" si="354"/>
        <v>0</v>
      </c>
      <c r="AL1093" s="198"/>
      <c r="AM1093" s="133" t="s">
        <v>886</v>
      </c>
      <c r="AN1093" s="246">
        <v>44867</v>
      </c>
      <c r="AO1093" s="100"/>
      <c r="AP1093" s="96"/>
      <c r="AQ1093" s="96"/>
      <c r="AR1093" s="96"/>
      <c r="AS1093" s="96"/>
      <c r="AT1093" s="96"/>
      <c r="AU1093" s="96"/>
      <c r="AV1093" s="96"/>
      <c r="AW1093" s="96"/>
      <c r="AX1093" s="96"/>
      <c r="AY1093" s="96"/>
      <c r="AZ1093" s="96"/>
      <c r="BA1093" s="96"/>
      <c r="BB1093" s="96"/>
      <c r="BC1093" s="96"/>
      <c r="BD1093" s="96"/>
      <c r="BE1093" s="96"/>
    </row>
    <row r="1094" s="97" customFormat="1" customHeight="1" spans="1:57">
      <c r="A1094" s="115" t="s">
        <v>8711</v>
      </c>
      <c r="B1094" s="111" t="s">
        <v>8712</v>
      </c>
      <c r="C1094" s="111" t="s">
        <v>8713</v>
      </c>
      <c r="D1094" s="113" t="s">
        <v>8714</v>
      </c>
      <c r="E1094" s="113">
        <v>15837110295</v>
      </c>
      <c r="F1094" s="267">
        <v>3</v>
      </c>
      <c r="G1094" s="268">
        <v>3701</v>
      </c>
      <c r="H1094" s="274">
        <v>14.6</v>
      </c>
      <c r="I1094" s="274" t="s">
        <v>2657</v>
      </c>
      <c r="J1094" s="113" t="s">
        <v>8715</v>
      </c>
      <c r="K1094" s="116">
        <v>12.85</v>
      </c>
      <c r="L1094" s="266" t="s">
        <v>2746</v>
      </c>
      <c r="M1094" s="266" t="s">
        <v>4288</v>
      </c>
      <c r="N1094" s="113" t="s">
        <v>66</v>
      </c>
      <c r="O1094" s="113"/>
      <c r="P1094" s="113"/>
      <c r="Q1094" s="113">
        <v>32884.82</v>
      </c>
      <c r="R1094" s="113">
        <v>422570</v>
      </c>
      <c r="S1094" s="121">
        <v>212570</v>
      </c>
      <c r="T1094" s="292">
        <f t="shared" si="341"/>
        <v>210000</v>
      </c>
      <c r="U1094" s="113"/>
      <c r="V1094" s="113"/>
      <c r="W1094" s="113"/>
      <c r="X1094" s="113"/>
      <c r="Y1094" s="113"/>
      <c r="Z1094" s="113"/>
      <c r="AA1094" s="275"/>
      <c r="AB1094" s="113"/>
      <c r="AC1094" s="113"/>
      <c r="AD1094" s="122"/>
      <c r="AE1094" s="133"/>
      <c r="AF1094" s="115"/>
      <c r="AG1094" s="133"/>
      <c r="AH1094" s="133"/>
      <c r="AI1094" s="132">
        <f t="shared" si="352"/>
        <v>212570</v>
      </c>
      <c r="AJ1094" s="132">
        <f t="shared" si="353"/>
        <v>212570</v>
      </c>
      <c r="AK1094" s="133">
        <f t="shared" si="354"/>
        <v>0</v>
      </c>
      <c r="AL1094" s="198"/>
      <c r="AM1094" s="133" t="s">
        <v>886</v>
      </c>
      <c r="AN1094" s="246">
        <v>44867</v>
      </c>
      <c r="AO1094" s="100"/>
      <c r="AP1094" s="96"/>
      <c r="AQ1094" s="96"/>
      <c r="AR1094" s="96"/>
      <c r="AS1094" s="96"/>
      <c r="AT1094" s="96"/>
      <c r="AU1094" s="96"/>
      <c r="AV1094" s="96"/>
      <c r="AW1094" s="96"/>
      <c r="AX1094" s="96"/>
      <c r="AY1094" s="96"/>
      <c r="AZ1094" s="96"/>
      <c r="BA1094" s="96"/>
      <c r="BB1094" s="96"/>
      <c r="BC1094" s="96"/>
      <c r="BD1094" s="96"/>
      <c r="BE1094" s="96"/>
    </row>
    <row r="1095" s="97" customFormat="1" customHeight="1" spans="1:57">
      <c r="A1095" s="115" t="s">
        <v>8716</v>
      </c>
      <c r="B1095" s="111" t="s">
        <v>8717</v>
      </c>
      <c r="C1095" s="554" t="s">
        <v>8718</v>
      </c>
      <c r="D1095" s="113" t="s">
        <v>8719</v>
      </c>
      <c r="E1095" s="113">
        <v>18037513539</v>
      </c>
      <c r="F1095" s="267">
        <v>4</v>
      </c>
      <c r="G1095" s="268">
        <v>4344</v>
      </c>
      <c r="H1095" s="274">
        <v>19.57</v>
      </c>
      <c r="I1095" s="274" t="s">
        <v>2657</v>
      </c>
      <c r="J1095" s="113" t="s">
        <v>8720</v>
      </c>
      <c r="K1095" s="116">
        <v>16.47</v>
      </c>
      <c r="L1095" s="266" t="s">
        <v>3408</v>
      </c>
      <c r="M1095" s="266" t="s">
        <v>3739</v>
      </c>
      <c r="N1095" s="113" t="s">
        <v>66</v>
      </c>
      <c r="O1095" s="113"/>
      <c r="P1095" s="113"/>
      <c r="Q1095" s="113">
        <v>26034.91</v>
      </c>
      <c r="R1095" s="113">
        <v>428795</v>
      </c>
      <c r="S1095" s="121">
        <v>218795</v>
      </c>
      <c r="T1095" s="292">
        <f t="shared" si="341"/>
        <v>210000</v>
      </c>
      <c r="U1095" s="113"/>
      <c r="V1095" s="113"/>
      <c r="W1095" s="113"/>
      <c r="X1095" s="113"/>
      <c r="Y1095" s="113"/>
      <c r="Z1095" s="113"/>
      <c r="AA1095" s="275"/>
      <c r="AB1095" s="113"/>
      <c r="AC1095" s="113"/>
      <c r="AD1095" s="122"/>
      <c r="AE1095" s="133"/>
      <c r="AF1095" s="115"/>
      <c r="AG1095" s="133"/>
      <c r="AH1095" s="133"/>
      <c r="AI1095" s="132">
        <f t="shared" si="352"/>
        <v>218795</v>
      </c>
      <c r="AJ1095" s="132">
        <f t="shared" si="353"/>
        <v>218795</v>
      </c>
      <c r="AK1095" s="133">
        <f t="shared" si="354"/>
        <v>0</v>
      </c>
      <c r="AL1095" s="198"/>
      <c r="AM1095" s="133" t="s">
        <v>886</v>
      </c>
      <c r="AN1095" s="246">
        <v>44867</v>
      </c>
      <c r="AO1095" s="100"/>
      <c r="AP1095" s="96"/>
      <c r="AQ1095" s="96"/>
      <c r="AR1095" s="96"/>
      <c r="AS1095" s="96"/>
      <c r="AT1095" s="96"/>
      <c r="AU1095" s="96"/>
      <c r="AV1095" s="96"/>
      <c r="AW1095" s="96"/>
      <c r="AX1095" s="96"/>
      <c r="AY1095" s="96"/>
      <c r="AZ1095" s="96"/>
      <c r="BA1095" s="96"/>
      <c r="BB1095" s="96"/>
      <c r="BC1095" s="96"/>
      <c r="BD1095" s="96"/>
      <c r="BE1095" s="96"/>
    </row>
    <row r="1096" s="97" customFormat="1" customHeight="1" spans="1:57">
      <c r="A1096" s="115" t="s">
        <v>8721</v>
      </c>
      <c r="B1096" s="111" t="s">
        <v>8722</v>
      </c>
      <c r="C1096" s="111" t="s">
        <v>8723</v>
      </c>
      <c r="D1096" s="113" t="s">
        <v>8724</v>
      </c>
      <c r="E1096" s="113">
        <v>15333822200</v>
      </c>
      <c r="F1096" s="267">
        <v>3</v>
      </c>
      <c r="G1096" s="268">
        <v>3425</v>
      </c>
      <c r="H1096" s="274">
        <v>24.34</v>
      </c>
      <c r="I1096" s="274" t="s">
        <v>2657</v>
      </c>
      <c r="J1096" s="113" t="s">
        <v>8725</v>
      </c>
      <c r="K1096" s="116">
        <v>22.03</v>
      </c>
      <c r="L1096" s="266" t="s">
        <v>3205</v>
      </c>
      <c r="M1096" s="266" t="s">
        <v>5709</v>
      </c>
      <c r="N1096" s="113" t="s">
        <v>66</v>
      </c>
      <c r="O1096" s="113"/>
      <c r="P1096" s="113"/>
      <c r="Q1096" s="113">
        <v>31526.37</v>
      </c>
      <c r="R1096" s="113">
        <v>694526</v>
      </c>
      <c r="S1096" s="121">
        <v>354526</v>
      </c>
      <c r="T1096" s="292">
        <f t="shared" si="341"/>
        <v>340000</v>
      </c>
      <c r="U1096" s="113"/>
      <c r="V1096" s="113"/>
      <c r="W1096" s="113"/>
      <c r="X1096" s="113"/>
      <c r="Y1096" s="113"/>
      <c r="Z1096" s="113"/>
      <c r="AA1096" s="275"/>
      <c r="AB1096" s="113"/>
      <c r="AC1096" s="113"/>
      <c r="AD1096" s="122"/>
      <c r="AE1096" s="133"/>
      <c r="AF1096" s="115"/>
      <c r="AG1096" s="133"/>
      <c r="AH1096" s="133"/>
      <c r="AI1096" s="132">
        <f t="shared" si="352"/>
        <v>354526</v>
      </c>
      <c r="AJ1096" s="132">
        <f t="shared" si="353"/>
        <v>354526</v>
      </c>
      <c r="AK1096" s="133">
        <f t="shared" si="354"/>
        <v>0</v>
      </c>
      <c r="AL1096" s="198"/>
      <c r="AM1096" s="133" t="s">
        <v>886</v>
      </c>
      <c r="AN1096" s="246">
        <v>44867</v>
      </c>
      <c r="AO1096" s="100"/>
      <c r="AP1096" s="96"/>
      <c r="AQ1096" s="96"/>
      <c r="AR1096" s="96"/>
      <c r="AS1096" s="96"/>
      <c r="AT1096" s="96"/>
      <c r="AU1096" s="96"/>
      <c r="AV1096" s="96"/>
      <c r="AW1096" s="96"/>
      <c r="AX1096" s="96"/>
      <c r="AY1096" s="96"/>
      <c r="AZ1096" s="96"/>
      <c r="BA1096" s="96"/>
      <c r="BB1096" s="96"/>
      <c r="BC1096" s="96"/>
      <c r="BD1096" s="96"/>
      <c r="BE1096" s="96"/>
    </row>
    <row r="1097" s="97" customFormat="1" customHeight="1" spans="1:57">
      <c r="A1097" s="115" t="s">
        <v>8726</v>
      </c>
      <c r="B1097" s="111" t="s">
        <v>8727</v>
      </c>
      <c r="C1097" s="111" t="s">
        <v>8728</v>
      </c>
      <c r="D1097" s="113" t="s">
        <v>8729</v>
      </c>
      <c r="E1097" s="113">
        <v>13598656149</v>
      </c>
      <c r="F1097" s="267">
        <v>3</v>
      </c>
      <c r="G1097" s="268">
        <v>3866</v>
      </c>
      <c r="H1097" s="274">
        <v>22.36</v>
      </c>
      <c r="I1097" s="274" t="s">
        <v>2657</v>
      </c>
      <c r="J1097" s="113" t="s">
        <v>8730</v>
      </c>
      <c r="K1097" s="116">
        <v>20.79</v>
      </c>
      <c r="L1097" s="266" t="s">
        <v>4771</v>
      </c>
      <c r="M1097" s="266" t="s">
        <v>6599</v>
      </c>
      <c r="N1097" s="113" t="s">
        <v>56</v>
      </c>
      <c r="O1097" s="113"/>
      <c r="P1097" s="113"/>
      <c r="Q1097" s="113">
        <v>31746.03</v>
      </c>
      <c r="R1097" s="113">
        <v>709841</v>
      </c>
      <c r="S1097" s="121">
        <v>709841</v>
      </c>
      <c r="T1097" s="292">
        <f t="shared" si="341"/>
        <v>0</v>
      </c>
      <c r="U1097" s="113"/>
      <c r="V1097" s="113">
        <v>1453</v>
      </c>
      <c r="W1097" s="113">
        <v>550</v>
      </c>
      <c r="X1097" s="113"/>
      <c r="Y1097" s="113" t="s">
        <v>2669</v>
      </c>
      <c r="Z1097" s="113" t="s">
        <v>48</v>
      </c>
      <c r="AA1097" s="275">
        <v>44051</v>
      </c>
      <c r="AB1097" s="113"/>
      <c r="AC1097" s="113"/>
      <c r="AD1097" s="122"/>
      <c r="AE1097" s="133"/>
      <c r="AF1097" s="115"/>
      <c r="AG1097" s="133"/>
      <c r="AH1097" s="133"/>
      <c r="AI1097" s="132">
        <f t="shared" si="352"/>
        <v>711844</v>
      </c>
      <c r="AJ1097" s="132">
        <f t="shared" si="353"/>
        <v>711844</v>
      </c>
      <c r="AK1097" s="133">
        <f t="shared" si="354"/>
        <v>0</v>
      </c>
      <c r="AL1097" s="198"/>
      <c r="AM1097" s="133" t="s">
        <v>886</v>
      </c>
      <c r="AN1097" s="246">
        <v>44867</v>
      </c>
      <c r="AO1097" s="100"/>
      <c r="AP1097" s="96"/>
      <c r="AQ1097" s="96"/>
      <c r="AR1097" s="96"/>
      <c r="AS1097" s="96"/>
      <c r="AT1097" s="96"/>
      <c r="AU1097" s="96"/>
      <c r="AV1097" s="96"/>
      <c r="AW1097" s="96"/>
      <c r="AX1097" s="96"/>
      <c r="AY1097" s="96"/>
      <c r="AZ1097" s="96"/>
      <c r="BA1097" s="96"/>
      <c r="BB1097" s="96"/>
      <c r="BC1097" s="96"/>
      <c r="BD1097" s="96"/>
      <c r="BE1097" s="96"/>
    </row>
    <row r="1098" s="97" customFormat="1" customHeight="1" spans="1:57">
      <c r="A1098" s="115" t="s">
        <v>8731</v>
      </c>
      <c r="B1098" s="111" t="s">
        <v>8732</v>
      </c>
      <c r="C1098" s="554" t="s">
        <v>8733</v>
      </c>
      <c r="D1098" s="113" t="s">
        <v>8734</v>
      </c>
      <c r="E1098" s="113">
        <v>13598815328</v>
      </c>
      <c r="F1098" s="267">
        <v>4</v>
      </c>
      <c r="G1098" s="268">
        <v>4268</v>
      </c>
      <c r="H1098" s="274">
        <v>32.37</v>
      </c>
      <c r="I1098" s="274" t="s">
        <v>2657</v>
      </c>
      <c r="J1098" s="113" t="s">
        <v>8735</v>
      </c>
      <c r="K1098" s="116">
        <v>28.35</v>
      </c>
      <c r="L1098" s="266" t="s">
        <v>2659</v>
      </c>
      <c r="M1098" s="266" t="s">
        <v>2746</v>
      </c>
      <c r="N1098" s="113" t="s">
        <v>66</v>
      </c>
      <c r="O1098" s="113"/>
      <c r="P1098" s="113"/>
      <c r="Q1098" s="113">
        <v>25659.58</v>
      </c>
      <c r="R1098" s="113">
        <v>727449</v>
      </c>
      <c r="S1098" s="121">
        <v>477449</v>
      </c>
      <c r="T1098" s="292">
        <f t="shared" si="341"/>
        <v>250000</v>
      </c>
      <c r="U1098" s="113"/>
      <c r="V1098" s="113"/>
      <c r="W1098" s="113"/>
      <c r="X1098" s="113"/>
      <c r="Y1098" s="113"/>
      <c r="Z1098" s="113"/>
      <c r="AA1098" s="275"/>
      <c r="AB1098" s="113"/>
      <c r="AC1098" s="113"/>
      <c r="AD1098" s="122"/>
      <c r="AE1098" s="133"/>
      <c r="AF1098" s="115"/>
      <c r="AG1098" s="133"/>
      <c r="AH1098" s="133"/>
      <c r="AI1098" s="132">
        <f t="shared" si="352"/>
        <v>477449</v>
      </c>
      <c r="AJ1098" s="132">
        <f t="shared" si="353"/>
        <v>477449</v>
      </c>
      <c r="AK1098" s="133">
        <f t="shared" si="354"/>
        <v>0</v>
      </c>
      <c r="AL1098" s="198"/>
      <c r="AM1098" s="133" t="s">
        <v>886</v>
      </c>
      <c r="AN1098" s="246">
        <v>44867</v>
      </c>
      <c r="AO1098" s="100"/>
      <c r="AP1098" s="96"/>
      <c r="AQ1098" s="96"/>
      <c r="AR1098" s="96"/>
      <c r="AS1098" s="96"/>
      <c r="AT1098" s="96"/>
      <c r="AU1098" s="96"/>
      <c r="AV1098" s="96"/>
      <c r="AW1098" s="96"/>
      <c r="AX1098" s="96"/>
      <c r="AY1098" s="96"/>
      <c r="AZ1098" s="96"/>
      <c r="BA1098" s="96"/>
      <c r="BB1098" s="96"/>
      <c r="BC1098" s="96"/>
      <c r="BD1098" s="96"/>
      <c r="BE1098" s="96"/>
    </row>
    <row r="1099" s="97" customFormat="1" customHeight="1" spans="1:57">
      <c r="A1099" s="115" t="s">
        <v>8736</v>
      </c>
      <c r="B1099" s="111" t="s">
        <v>8737</v>
      </c>
      <c r="C1099" s="111" t="s">
        <v>8738</v>
      </c>
      <c r="D1099" s="113" t="s">
        <v>8739</v>
      </c>
      <c r="E1099" s="111">
        <v>18339922229</v>
      </c>
      <c r="F1099" s="267">
        <v>3</v>
      </c>
      <c r="G1099" s="268">
        <v>3712</v>
      </c>
      <c r="H1099" s="274">
        <v>20.4</v>
      </c>
      <c r="I1099" s="274" t="s">
        <v>2657</v>
      </c>
      <c r="J1099" s="113" t="s">
        <v>8740</v>
      </c>
      <c r="K1099" s="116">
        <v>18.48</v>
      </c>
      <c r="L1099" s="266" t="s">
        <v>3558</v>
      </c>
      <c r="M1099" s="266" t="s">
        <v>4271</v>
      </c>
      <c r="N1099" s="113" t="s">
        <v>66</v>
      </c>
      <c r="O1099" s="113"/>
      <c r="P1099" s="113"/>
      <c r="Q1099" s="113">
        <v>32403.03</v>
      </c>
      <c r="R1099" s="113">
        <v>661022</v>
      </c>
      <c r="S1099" s="121">
        <v>331022</v>
      </c>
      <c r="T1099" s="292">
        <f t="shared" si="341"/>
        <v>330000</v>
      </c>
      <c r="U1099" s="113"/>
      <c r="V1099" s="113">
        <v>1326</v>
      </c>
      <c r="W1099" s="113">
        <v>550</v>
      </c>
      <c r="X1099" s="113"/>
      <c r="Y1099" s="113" t="s">
        <v>2669</v>
      </c>
      <c r="Z1099" s="113"/>
      <c r="AA1099" s="275"/>
      <c r="AB1099" s="113"/>
      <c r="AC1099" s="113"/>
      <c r="AD1099" s="122"/>
      <c r="AE1099" s="133"/>
      <c r="AF1099" s="115"/>
      <c r="AG1099" s="133"/>
      <c r="AH1099" s="133"/>
      <c r="AI1099" s="132">
        <f t="shared" si="352"/>
        <v>332898</v>
      </c>
      <c r="AJ1099" s="132">
        <f t="shared" si="353"/>
        <v>332898</v>
      </c>
      <c r="AK1099" s="133">
        <f t="shared" si="354"/>
        <v>0</v>
      </c>
      <c r="AL1099" s="198" t="s">
        <v>8741</v>
      </c>
      <c r="AM1099" s="133" t="s">
        <v>886</v>
      </c>
      <c r="AN1099" s="246">
        <v>44888</v>
      </c>
      <c r="AO1099" s="100"/>
      <c r="AP1099" s="96"/>
      <c r="AQ1099" s="96"/>
      <c r="AR1099" s="96"/>
      <c r="AS1099" s="96"/>
      <c r="AT1099" s="96"/>
      <c r="AU1099" s="96"/>
      <c r="AV1099" s="96"/>
      <c r="AW1099" s="96"/>
      <c r="AX1099" s="96"/>
      <c r="AY1099" s="96"/>
      <c r="AZ1099" s="96"/>
      <c r="BA1099" s="96"/>
      <c r="BB1099" s="96"/>
      <c r="BC1099" s="96"/>
      <c r="BD1099" s="96"/>
      <c r="BE1099" s="96"/>
    </row>
    <row r="1100" s="97" customFormat="1" customHeight="1" spans="1:57">
      <c r="A1100" s="115" t="s">
        <v>8742</v>
      </c>
      <c r="B1100" s="111" t="s">
        <v>8743</v>
      </c>
      <c r="C1100" s="111" t="s">
        <v>8744</v>
      </c>
      <c r="D1100" s="113" t="s">
        <v>8745</v>
      </c>
      <c r="E1100" s="113">
        <v>18695830458</v>
      </c>
      <c r="F1100" s="267">
        <v>3</v>
      </c>
      <c r="G1100" s="268">
        <v>3864</v>
      </c>
      <c r="H1100" s="274">
        <v>23.08</v>
      </c>
      <c r="I1100" s="274" t="s">
        <v>2657</v>
      </c>
      <c r="J1100" s="113" t="s">
        <v>8746</v>
      </c>
      <c r="K1100" s="116">
        <v>22.27</v>
      </c>
      <c r="L1100" s="266" t="s">
        <v>2920</v>
      </c>
      <c r="M1100" s="266" t="s">
        <v>2763</v>
      </c>
      <c r="N1100" s="113" t="s">
        <v>66</v>
      </c>
      <c r="O1100" s="113"/>
      <c r="P1100" s="113"/>
      <c r="Q1100" s="113">
        <v>31656.85</v>
      </c>
      <c r="R1100" s="113">
        <v>730640</v>
      </c>
      <c r="S1100" s="121">
        <v>370640</v>
      </c>
      <c r="T1100" s="292">
        <f t="shared" si="341"/>
        <v>360000</v>
      </c>
      <c r="U1100" s="113"/>
      <c r="V1100" s="113">
        <v>1500</v>
      </c>
      <c r="W1100" s="113">
        <v>560</v>
      </c>
      <c r="X1100" s="113"/>
      <c r="Y1100" s="113" t="s">
        <v>2669</v>
      </c>
      <c r="Z1100" s="113"/>
      <c r="AA1100" s="275"/>
      <c r="AB1100" s="113"/>
      <c r="AC1100" s="113"/>
      <c r="AD1100" s="122"/>
      <c r="AE1100" s="133"/>
      <c r="AF1100" s="115"/>
      <c r="AG1100" s="133"/>
      <c r="AH1100" s="133"/>
      <c r="AI1100" s="132">
        <f t="shared" si="352"/>
        <v>372700</v>
      </c>
      <c r="AJ1100" s="132">
        <f t="shared" si="353"/>
        <v>372700</v>
      </c>
      <c r="AK1100" s="133">
        <f t="shared" si="354"/>
        <v>0</v>
      </c>
      <c r="AL1100" s="198"/>
      <c r="AM1100" s="133" t="s">
        <v>886</v>
      </c>
      <c r="AN1100" s="246">
        <v>44867</v>
      </c>
      <c r="AO1100" s="100"/>
      <c r="AP1100" s="96"/>
      <c r="AQ1100" s="96"/>
      <c r="AR1100" s="96"/>
      <c r="AS1100" s="96"/>
      <c r="AT1100" s="96"/>
      <c r="AU1100" s="96"/>
      <c r="AV1100" s="96"/>
      <c r="AW1100" s="96"/>
      <c r="AX1100" s="96"/>
      <c r="AY1100" s="96"/>
      <c r="AZ1100" s="96"/>
      <c r="BA1100" s="96"/>
      <c r="BB1100" s="96"/>
      <c r="BC1100" s="96"/>
      <c r="BD1100" s="96"/>
      <c r="BE1100" s="96"/>
    </row>
    <row r="1101" s="97" customFormat="1" customHeight="1" spans="1:57">
      <c r="A1101" s="337" t="s">
        <v>8747</v>
      </c>
      <c r="B1101" s="111" t="s">
        <v>8748</v>
      </c>
      <c r="C1101" s="111" t="s">
        <v>8749</v>
      </c>
      <c r="D1101" s="113" t="s">
        <v>8750</v>
      </c>
      <c r="E1101" s="113">
        <v>13303916001</v>
      </c>
      <c r="F1101" s="267">
        <v>3</v>
      </c>
      <c r="G1101" s="268">
        <v>3688</v>
      </c>
      <c r="H1101" s="274">
        <v>10.82</v>
      </c>
      <c r="I1101" s="274" t="s">
        <v>2657</v>
      </c>
      <c r="J1101" s="113" t="s">
        <v>8751</v>
      </c>
      <c r="K1101" s="116">
        <v>12.87</v>
      </c>
      <c r="L1101" s="266" t="s">
        <v>4670</v>
      </c>
      <c r="M1101" s="266" t="s">
        <v>5819</v>
      </c>
      <c r="N1101" s="113" t="s">
        <v>2677</v>
      </c>
      <c r="O1101" s="113"/>
      <c r="P1101" s="113"/>
      <c r="Q1101" s="113">
        <v>31634.89</v>
      </c>
      <c r="R1101" s="113">
        <v>407141</v>
      </c>
      <c r="S1101" s="121">
        <v>307141</v>
      </c>
      <c r="T1101" s="292">
        <f t="shared" si="341"/>
        <v>100000</v>
      </c>
      <c r="U1101" s="113"/>
      <c r="V1101" s="113"/>
      <c r="W1101" s="113"/>
      <c r="X1101" s="113"/>
      <c r="Y1101" s="113"/>
      <c r="Z1101" s="113"/>
      <c r="AA1101" s="275"/>
      <c r="AB1101" s="113"/>
      <c r="AC1101" s="113"/>
      <c r="AD1101" s="122"/>
      <c r="AE1101" s="133"/>
      <c r="AF1101" s="115"/>
      <c r="AG1101" s="133"/>
      <c r="AH1101" s="133"/>
      <c r="AI1101" s="132">
        <f t="shared" si="352"/>
        <v>307141</v>
      </c>
      <c r="AJ1101" s="341"/>
      <c r="AK1101" s="133">
        <f t="shared" si="354"/>
        <v>307141</v>
      </c>
      <c r="AL1101" s="371" t="s">
        <v>8752</v>
      </c>
      <c r="AM1101" s="133" t="s">
        <v>886</v>
      </c>
      <c r="AN1101" s="246">
        <v>44867</v>
      </c>
      <c r="AO1101" s="100"/>
      <c r="AP1101" s="96"/>
      <c r="AQ1101" s="96"/>
      <c r="AR1101" s="96"/>
      <c r="AS1101" s="96"/>
      <c r="AT1101" s="96"/>
      <c r="AU1101" s="96"/>
      <c r="AV1101" s="96"/>
      <c r="AW1101" s="96"/>
      <c r="AX1101" s="96"/>
      <c r="AY1101" s="96"/>
      <c r="AZ1101" s="96"/>
      <c r="BA1101" s="96"/>
      <c r="BB1101" s="96"/>
      <c r="BC1101" s="96"/>
      <c r="BD1101" s="96"/>
      <c r="BE1101" s="96"/>
    </row>
    <row r="1102" s="97" customFormat="1" customHeight="1" spans="1:57">
      <c r="A1102" s="115" t="s">
        <v>8753</v>
      </c>
      <c r="B1102" s="111" t="s">
        <v>8754</v>
      </c>
      <c r="C1102" s="111" t="s">
        <v>8755</v>
      </c>
      <c r="D1102" s="113" t="s">
        <v>8756</v>
      </c>
      <c r="E1102" s="113" t="s">
        <v>8757</v>
      </c>
      <c r="F1102" s="267">
        <v>3</v>
      </c>
      <c r="G1102" s="268">
        <v>3220</v>
      </c>
      <c r="H1102" s="274">
        <v>17.67</v>
      </c>
      <c r="I1102" s="274" t="s">
        <v>2657</v>
      </c>
      <c r="J1102" s="113" t="s">
        <v>8758</v>
      </c>
      <c r="K1102" s="116">
        <v>10.56</v>
      </c>
      <c r="L1102" s="266" t="s">
        <v>3326</v>
      </c>
      <c r="M1102" s="266" t="s">
        <v>3514</v>
      </c>
      <c r="N1102" s="113" t="s">
        <v>66</v>
      </c>
      <c r="O1102" s="113"/>
      <c r="P1102" s="113"/>
      <c r="Q1102" s="113">
        <v>32085.13</v>
      </c>
      <c r="R1102" s="113">
        <v>338819</v>
      </c>
      <c r="S1102" s="121">
        <v>178819</v>
      </c>
      <c r="T1102" s="292">
        <f t="shared" si="341"/>
        <v>160000</v>
      </c>
      <c r="U1102" s="113"/>
      <c r="V1102" s="113"/>
      <c r="W1102" s="113"/>
      <c r="X1102" s="113"/>
      <c r="Y1102" s="113"/>
      <c r="Z1102" s="113"/>
      <c r="AA1102" s="275"/>
      <c r="AB1102" s="113"/>
      <c r="AC1102" s="113"/>
      <c r="AD1102" s="122"/>
      <c r="AE1102" s="133"/>
      <c r="AF1102" s="115"/>
      <c r="AG1102" s="133"/>
      <c r="AH1102" s="133"/>
      <c r="AI1102" s="132">
        <f t="shared" si="352"/>
        <v>178819</v>
      </c>
      <c r="AJ1102" s="132">
        <f>S1102+U1102+V1102+W1102+X1102</f>
        <v>178819</v>
      </c>
      <c r="AK1102" s="133">
        <f t="shared" si="354"/>
        <v>0</v>
      </c>
      <c r="AL1102" s="198"/>
      <c r="AM1102" s="133" t="s">
        <v>886</v>
      </c>
      <c r="AN1102" s="246">
        <v>44867</v>
      </c>
      <c r="AO1102" s="100"/>
      <c r="AP1102" s="96"/>
      <c r="AQ1102" s="96"/>
      <c r="AR1102" s="96"/>
      <c r="AS1102" s="96"/>
      <c r="AT1102" s="96"/>
      <c r="AU1102" s="96"/>
      <c r="AV1102" s="96"/>
      <c r="AW1102" s="96"/>
      <c r="AX1102" s="96"/>
      <c r="AY1102" s="96"/>
      <c r="AZ1102" s="96"/>
      <c r="BA1102" s="96"/>
      <c r="BB1102" s="96"/>
      <c r="BC1102" s="96"/>
      <c r="BD1102" s="96"/>
      <c r="BE1102" s="96"/>
    </row>
    <row r="1103" s="97" customFormat="1" customHeight="1" spans="1:57">
      <c r="A1103" s="115" t="s">
        <v>8759</v>
      </c>
      <c r="B1103" s="111" t="s">
        <v>8760</v>
      </c>
      <c r="C1103" s="111" t="s">
        <v>8761</v>
      </c>
      <c r="D1103" s="113" t="s">
        <v>8762</v>
      </c>
      <c r="E1103" s="113">
        <v>13526280133</v>
      </c>
      <c r="F1103" s="267">
        <v>3</v>
      </c>
      <c r="G1103" s="268">
        <v>3870</v>
      </c>
      <c r="H1103" s="274">
        <v>29.18</v>
      </c>
      <c r="I1103" s="274" t="s">
        <v>2657</v>
      </c>
      <c r="J1103" s="113" t="s">
        <v>8763</v>
      </c>
      <c r="K1103" s="116">
        <v>27.36</v>
      </c>
      <c r="L1103" s="266" t="s">
        <v>3108</v>
      </c>
      <c r="M1103" s="266" t="s">
        <v>8764</v>
      </c>
      <c r="N1103" s="113" t="s">
        <v>66</v>
      </c>
      <c r="O1103" s="113"/>
      <c r="P1103" s="113"/>
      <c r="Q1103" s="113">
        <v>31310.56</v>
      </c>
      <c r="R1103" s="113">
        <v>913642</v>
      </c>
      <c r="S1103" s="121">
        <v>723642</v>
      </c>
      <c r="T1103" s="292">
        <f t="shared" si="341"/>
        <v>190000</v>
      </c>
      <c r="U1103" s="113"/>
      <c r="V1103" s="113">
        <v>1896</v>
      </c>
      <c r="W1103" s="113">
        <v>550</v>
      </c>
      <c r="X1103" s="113"/>
      <c r="Y1103" s="113" t="s">
        <v>2669</v>
      </c>
      <c r="Z1103" s="113" t="s">
        <v>48</v>
      </c>
      <c r="AA1103" s="275">
        <v>44188</v>
      </c>
      <c r="AB1103" s="113"/>
      <c r="AC1103" s="113">
        <v>1239</v>
      </c>
      <c r="AD1103" s="122"/>
      <c r="AE1103" s="133"/>
      <c r="AF1103" s="115"/>
      <c r="AG1103" s="133"/>
      <c r="AH1103" s="133"/>
      <c r="AI1103" s="132">
        <f t="shared" ref="AI1103:AI1108" si="355">S1103+U1103+V1103+W1103+X1103+AC1103+AD1103+AE1103</f>
        <v>727327</v>
      </c>
      <c r="AJ1103" s="132">
        <f t="shared" ref="AJ1103:AJ1108" si="356">S1103+U1103+V1103+W1103+X1103</f>
        <v>726088</v>
      </c>
      <c r="AK1103" s="133">
        <f t="shared" ref="AK1103:AK1108" si="357">AI1103-AJ1103</f>
        <v>1239</v>
      </c>
      <c r="AL1103" s="198"/>
      <c r="AM1103" s="133" t="s">
        <v>886</v>
      </c>
      <c r="AN1103" s="246">
        <v>44867</v>
      </c>
      <c r="AO1103" s="100"/>
      <c r="AP1103" s="96"/>
      <c r="AQ1103" s="96"/>
      <c r="AR1103" s="96"/>
      <c r="AS1103" s="96"/>
      <c r="AT1103" s="96"/>
      <c r="AU1103" s="96"/>
      <c r="AV1103" s="96"/>
      <c r="AW1103" s="96"/>
      <c r="AX1103" s="96"/>
      <c r="AY1103" s="96"/>
      <c r="AZ1103" s="96"/>
      <c r="BA1103" s="96"/>
      <c r="BB1103" s="96"/>
      <c r="BC1103" s="96"/>
      <c r="BD1103" s="96"/>
      <c r="BE1103" s="96"/>
    </row>
    <row r="1104" s="97" customFormat="1" customHeight="1" spans="1:57">
      <c r="A1104" s="115" t="s">
        <v>8765</v>
      </c>
      <c r="B1104" s="111" t="s">
        <v>8766</v>
      </c>
      <c r="C1104" s="111" t="s">
        <v>8767</v>
      </c>
      <c r="D1104" s="113" t="s">
        <v>8768</v>
      </c>
      <c r="E1104" s="113">
        <v>13838726269</v>
      </c>
      <c r="F1104" s="267">
        <v>3</v>
      </c>
      <c r="G1104" s="268">
        <v>3401</v>
      </c>
      <c r="H1104" s="274">
        <v>18.75</v>
      </c>
      <c r="I1104" s="274" t="s">
        <v>2657</v>
      </c>
      <c r="J1104" s="113" t="s">
        <v>8769</v>
      </c>
      <c r="K1104" s="116">
        <v>14.41</v>
      </c>
      <c r="L1104" s="266" t="s">
        <v>4363</v>
      </c>
      <c r="M1104" s="266" t="s">
        <v>3905</v>
      </c>
      <c r="N1104" s="113" t="s">
        <v>56</v>
      </c>
      <c r="O1104" s="113"/>
      <c r="P1104" s="113"/>
      <c r="Q1104" s="113">
        <v>31458.29</v>
      </c>
      <c r="R1104" s="113">
        <v>589843</v>
      </c>
      <c r="S1104" s="121">
        <v>589843</v>
      </c>
      <c r="T1104" s="292">
        <f t="shared" si="341"/>
        <v>0</v>
      </c>
      <c r="U1104" s="113"/>
      <c r="V1104" s="113">
        <v>1218</v>
      </c>
      <c r="W1104" s="113">
        <v>550</v>
      </c>
      <c r="X1104" s="113"/>
      <c r="Y1104" s="113" t="s">
        <v>2669</v>
      </c>
      <c r="Z1104" s="113"/>
      <c r="AA1104" s="275"/>
      <c r="AB1104" s="113"/>
      <c r="AC1104" s="113">
        <f>2899-V1104</f>
        <v>1681</v>
      </c>
      <c r="AD1104" s="122"/>
      <c r="AE1104" s="133"/>
      <c r="AF1104" s="115"/>
      <c r="AG1104" s="133"/>
      <c r="AH1104" s="133"/>
      <c r="AI1104" s="132">
        <f t="shared" si="355"/>
        <v>593292</v>
      </c>
      <c r="AJ1104" s="341"/>
      <c r="AK1104" s="133">
        <f t="shared" si="357"/>
        <v>593292</v>
      </c>
      <c r="AL1104" s="372" t="s">
        <v>8618</v>
      </c>
      <c r="AM1104" s="133" t="s">
        <v>886</v>
      </c>
      <c r="AN1104" s="246">
        <v>44867</v>
      </c>
      <c r="AO1104" s="100"/>
      <c r="AP1104" s="96"/>
      <c r="AQ1104" s="96"/>
      <c r="AR1104" s="96"/>
      <c r="AS1104" s="96"/>
      <c r="AT1104" s="96"/>
      <c r="AU1104" s="96"/>
      <c r="AV1104" s="96"/>
      <c r="AW1104" s="96"/>
      <c r="AX1104" s="96"/>
      <c r="AY1104" s="96"/>
      <c r="AZ1104" s="96"/>
      <c r="BA1104" s="96"/>
      <c r="BB1104" s="96"/>
      <c r="BC1104" s="96"/>
      <c r="BD1104" s="96"/>
      <c r="BE1104" s="96"/>
    </row>
    <row r="1105" s="97" customFormat="1" customHeight="1" spans="1:57">
      <c r="A1105" s="115" t="s">
        <v>8770</v>
      </c>
      <c r="B1105" s="111" t="s">
        <v>8771</v>
      </c>
      <c r="C1105" s="554" t="s">
        <v>8772</v>
      </c>
      <c r="D1105" s="113" t="s">
        <v>8773</v>
      </c>
      <c r="E1105" s="113">
        <v>18037276980</v>
      </c>
      <c r="F1105" s="267">
        <v>4</v>
      </c>
      <c r="G1105" s="268">
        <v>4515</v>
      </c>
      <c r="H1105" s="274">
        <v>12.19</v>
      </c>
      <c r="I1105" s="274" t="s">
        <v>2657</v>
      </c>
      <c r="J1105" s="113" t="s">
        <v>8774</v>
      </c>
      <c r="K1105" s="116">
        <v>10.22</v>
      </c>
      <c r="L1105" s="266" t="s">
        <v>5591</v>
      </c>
      <c r="M1105" s="266" t="s">
        <v>4806</v>
      </c>
      <c r="N1105" s="113" t="s">
        <v>66</v>
      </c>
      <c r="O1105" s="113"/>
      <c r="P1105" s="113"/>
      <c r="Q1105" s="113">
        <v>27257.73</v>
      </c>
      <c r="R1105" s="113">
        <v>278574</v>
      </c>
      <c r="S1105" s="121">
        <v>148574</v>
      </c>
      <c r="T1105" s="292">
        <f t="shared" si="341"/>
        <v>130000</v>
      </c>
      <c r="U1105" s="113"/>
      <c r="V1105" s="113"/>
      <c r="W1105" s="113"/>
      <c r="X1105" s="113"/>
      <c r="Y1105" s="113"/>
      <c r="Z1105" s="113"/>
      <c r="AA1105" s="275"/>
      <c r="AB1105" s="113"/>
      <c r="AC1105" s="113"/>
      <c r="AD1105" s="122"/>
      <c r="AE1105" s="133"/>
      <c r="AF1105" s="115"/>
      <c r="AG1105" s="133"/>
      <c r="AH1105" s="133"/>
      <c r="AI1105" s="132">
        <f t="shared" si="355"/>
        <v>148574</v>
      </c>
      <c r="AJ1105" s="132">
        <f t="shared" si="356"/>
        <v>148574</v>
      </c>
      <c r="AK1105" s="133">
        <f t="shared" si="357"/>
        <v>0</v>
      </c>
      <c r="AL1105" s="198"/>
      <c r="AM1105" s="133" t="s">
        <v>886</v>
      </c>
      <c r="AN1105" s="246">
        <v>44867</v>
      </c>
      <c r="AO1105" s="100"/>
      <c r="AP1105" s="96"/>
      <c r="AQ1105" s="96"/>
      <c r="AR1105" s="96"/>
      <c r="AS1105" s="96"/>
      <c r="AT1105" s="96"/>
      <c r="AU1105" s="96"/>
      <c r="AV1105" s="96"/>
      <c r="AW1105" s="96"/>
      <c r="AX1105" s="96"/>
      <c r="AY1105" s="96"/>
      <c r="AZ1105" s="96"/>
      <c r="BA1105" s="96"/>
      <c r="BB1105" s="96"/>
      <c r="BC1105" s="96"/>
      <c r="BD1105" s="96"/>
      <c r="BE1105" s="96"/>
    </row>
    <row r="1106" s="97" customFormat="1" customHeight="1" spans="1:57">
      <c r="A1106" s="115" t="s">
        <v>8775</v>
      </c>
      <c r="B1106" s="111" t="s">
        <v>8776</v>
      </c>
      <c r="C1106" s="554" t="s">
        <v>8777</v>
      </c>
      <c r="D1106" s="113" t="s">
        <v>8778</v>
      </c>
      <c r="E1106" s="113">
        <v>18538581859</v>
      </c>
      <c r="F1106" s="267">
        <v>4</v>
      </c>
      <c r="G1106" s="268">
        <v>4401</v>
      </c>
      <c r="H1106" s="274">
        <v>11.2</v>
      </c>
      <c r="I1106" s="274" t="s">
        <v>2657</v>
      </c>
      <c r="J1106" s="113" t="s">
        <v>8779</v>
      </c>
      <c r="K1106" s="116">
        <v>10.69</v>
      </c>
      <c r="L1106" s="266" t="s">
        <v>2954</v>
      </c>
      <c r="M1106" s="266" t="s">
        <v>2835</v>
      </c>
      <c r="N1106" s="113" t="s">
        <v>56</v>
      </c>
      <c r="O1106" s="113"/>
      <c r="P1106" s="113"/>
      <c r="Q1106" s="113">
        <v>27501.22</v>
      </c>
      <c r="R1106" s="113">
        <v>308014</v>
      </c>
      <c r="S1106" s="121">
        <v>308014</v>
      </c>
      <c r="T1106" s="292">
        <f t="shared" si="341"/>
        <v>0</v>
      </c>
      <c r="U1106" s="113"/>
      <c r="V1106" s="113">
        <v>728</v>
      </c>
      <c r="W1106" s="113">
        <v>550</v>
      </c>
      <c r="X1106" s="113"/>
      <c r="Y1106" s="113" t="s">
        <v>2669</v>
      </c>
      <c r="Z1106" s="113" t="s">
        <v>48</v>
      </c>
      <c r="AA1106" s="275">
        <v>44052</v>
      </c>
      <c r="AB1106" s="113"/>
      <c r="AC1106" s="113"/>
      <c r="AD1106" s="122"/>
      <c r="AE1106" s="133"/>
      <c r="AF1106" s="115"/>
      <c r="AG1106" s="133"/>
      <c r="AH1106" s="133"/>
      <c r="AI1106" s="132">
        <f t="shared" si="355"/>
        <v>309292</v>
      </c>
      <c r="AJ1106" s="132">
        <f t="shared" si="356"/>
        <v>309292</v>
      </c>
      <c r="AK1106" s="133">
        <f t="shared" si="357"/>
        <v>0</v>
      </c>
      <c r="AL1106" s="198"/>
      <c r="AM1106" s="133" t="s">
        <v>886</v>
      </c>
      <c r="AN1106" s="246">
        <v>44867</v>
      </c>
      <c r="AO1106" s="100"/>
      <c r="AP1106" s="96"/>
      <c r="AQ1106" s="96"/>
      <c r="AR1106" s="96"/>
      <c r="AS1106" s="96"/>
      <c r="AT1106" s="96"/>
      <c r="AU1106" s="96"/>
      <c r="AV1106" s="96"/>
      <c r="AW1106" s="96"/>
      <c r="AX1106" s="96"/>
      <c r="AY1106" s="96"/>
      <c r="AZ1106" s="96"/>
      <c r="BA1106" s="96"/>
      <c r="BB1106" s="96"/>
      <c r="BC1106" s="96"/>
      <c r="BD1106" s="96"/>
      <c r="BE1106" s="96"/>
    </row>
    <row r="1107" s="97" customFormat="1" customHeight="1" spans="1:57">
      <c r="A1107" s="115" t="s">
        <v>8780</v>
      </c>
      <c r="B1107" s="111" t="s">
        <v>8781</v>
      </c>
      <c r="C1107" s="111" t="s">
        <v>8782</v>
      </c>
      <c r="D1107" s="113" t="s">
        <v>8783</v>
      </c>
      <c r="E1107" s="113" t="s">
        <v>8784</v>
      </c>
      <c r="F1107" s="267">
        <v>4</v>
      </c>
      <c r="G1107" s="268">
        <v>4425</v>
      </c>
      <c r="H1107" s="274">
        <v>17.4</v>
      </c>
      <c r="I1107" s="274" t="s">
        <v>2665</v>
      </c>
      <c r="J1107" s="113" t="s">
        <v>8785</v>
      </c>
      <c r="K1107" s="116">
        <v>23.75</v>
      </c>
      <c r="L1107" s="266" t="s">
        <v>3387</v>
      </c>
      <c r="M1107" s="266" t="s">
        <v>8786</v>
      </c>
      <c r="N1107" s="113" t="s">
        <v>66</v>
      </c>
      <c r="O1107" s="113"/>
      <c r="P1107" s="113"/>
      <c r="Q1107" s="113">
        <v>26354.91</v>
      </c>
      <c r="R1107" s="113">
        <v>625929</v>
      </c>
      <c r="S1107" s="121">
        <v>315929</v>
      </c>
      <c r="T1107" s="292">
        <f t="shared" si="341"/>
        <v>310000</v>
      </c>
      <c r="U1107" s="113"/>
      <c r="V1107" s="113"/>
      <c r="W1107" s="113"/>
      <c r="X1107" s="113"/>
      <c r="Y1107" s="113"/>
      <c r="Z1107" s="113"/>
      <c r="AA1107" s="275"/>
      <c r="AB1107" s="113"/>
      <c r="AC1107" s="113"/>
      <c r="AD1107" s="122"/>
      <c r="AE1107" s="133"/>
      <c r="AF1107" s="115"/>
      <c r="AG1107" s="133"/>
      <c r="AH1107" s="133"/>
      <c r="AI1107" s="132">
        <f t="shared" si="355"/>
        <v>315929</v>
      </c>
      <c r="AJ1107" s="341"/>
      <c r="AK1107" s="133">
        <f t="shared" si="357"/>
        <v>315929</v>
      </c>
      <c r="AL1107" s="371" t="s">
        <v>8618</v>
      </c>
      <c r="AM1107" s="133" t="s">
        <v>886</v>
      </c>
      <c r="AN1107" s="246">
        <v>44867</v>
      </c>
      <c r="AO1107" s="100"/>
      <c r="AP1107" s="96"/>
      <c r="AQ1107" s="96"/>
      <c r="AR1107" s="96"/>
      <c r="AS1107" s="96"/>
      <c r="AT1107" s="96"/>
      <c r="AU1107" s="96"/>
      <c r="AV1107" s="96"/>
      <c r="AW1107" s="96"/>
      <c r="AX1107" s="96"/>
      <c r="AY1107" s="96"/>
      <c r="AZ1107" s="96"/>
      <c r="BA1107" s="96"/>
      <c r="BB1107" s="96"/>
      <c r="BC1107" s="96"/>
      <c r="BD1107" s="96"/>
      <c r="BE1107" s="96"/>
    </row>
    <row r="1108" s="97" customFormat="1" customHeight="1" spans="1:57">
      <c r="A1108" s="115" t="s">
        <v>8787</v>
      </c>
      <c r="B1108" s="111" t="s">
        <v>8788</v>
      </c>
      <c r="C1108" s="554" t="s">
        <v>8789</v>
      </c>
      <c r="D1108" s="113" t="s">
        <v>8790</v>
      </c>
      <c r="E1108" s="113">
        <v>13633943010</v>
      </c>
      <c r="F1108" s="267">
        <v>4</v>
      </c>
      <c r="G1108" s="268">
        <v>4375</v>
      </c>
      <c r="H1108" s="274">
        <v>25.15</v>
      </c>
      <c r="I1108" s="274" t="s">
        <v>2665</v>
      </c>
      <c r="J1108" s="113" t="s">
        <v>8791</v>
      </c>
      <c r="K1108" s="116">
        <v>24.5</v>
      </c>
      <c r="L1108" s="266" t="s">
        <v>3865</v>
      </c>
      <c r="M1108" s="266" t="s">
        <v>3850</v>
      </c>
      <c r="N1108" s="113" t="s">
        <v>66</v>
      </c>
      <c r="O1108" s="113"/>
      <c r="P1108" s="113"/>
      <c r="Q1108" s="113">
        <v>26629.31</v>
      </c>
      <c r="R1108" s="113">
        <v>652418</v>
      </c>
      <c r="S1108" s="121">
        <v>332418</v>
      </c>
      <c r="T1108" s="292">
        <f t="shared" si="341"/>
        <v>320000</v>
      </c>
      <c r="U1108" s="113"/>
      <c r="V1108" s="113"/>
      <c r="W1108" s="113"/>
      <c r="X1108" s="113"/>
      <c r="Y1108" s="113"/>
      <c r="Z1108" s="113"/>
      <c r="AA1108" s="275"/>
      <c r="AB1108" s="113"/>
      <c r="AC1108" s="113"/>
      <c r="AD1108" s="122"/>
      <c r="AE1108" s="133"/>
      <c r="AF1108" s="115"/>
      <c r="AG1108" s="133"/>
      <c r="AH1108" s="133"/>
      <c r="AI1108" s="132">
        <f t="shared" si="355"/>
        <v>332418</v>
      </c>
      <c r="AJ1108" s="341"/>
      <c r="AK1108" s="133">
        <f t="shared" si="357"/>
        <v>332418</v>
      </c>
      <c r="AL1108" s="371" t="s">
        <v>8618</v>
      </c>
      <c r="AM1108" s="133" t="s">
        <v>886</v>
      </c>
      <c r="AN1108" s="246">
        <v>44867</v>
      </c>
      <c r="AO1108" s="100"/>
      <c r="AP1108" s="96"/>
      <c r="AQ1108" s="96"/>
      <c r="AR1108" s="96"/>
      <c r="AS1108" s="96"/>
      <c r="AT1108" s="96"/>
      <c r="AU1108" s="96"/>
      <c r="AV1108" s="96"/>
      <c r="AW1108" s="96"/>
      <c r="AX1108" s="96"/>
      <c r="AY1108" s="96"/>
      <c r="AZ1108" s="96"/>
      <c r="BA1108" s="96"/>
      <c r="BB1108" s="96"/>
      <c r="BC1108" s="96"/>
      <c r="BD1108" s="96"/>
      <c r="BE1108" s="96"/>
    </row>
    <row r="1109" s="97" customFormat="1" customHeight="1" spans="1:57">
      <c r="A1109" s="115" t="s">
        <v>8792</v>
      </c>
      <c r="B1109" s="111" t="s">
        <v>8793</v>
      </c>
      <c r="C1109" s="111" t="s">
        <v>8794</v>
      </c>
      <c r="D1109" s="113" t="s">
        <v>8795</v>
      </c>
      <c r="E1109" s="113">
        <v>15937107122</v>
      </c>
      <c r="F1109" s="267">
        <v>3</v>
      </c>
      <c r="G1109" s="268">
        <v>3699</v>
      </c>
      <c r="H1109" s="274">
        <v>18.08</v>
      </c>
      <c r="I1109" s="274" t="s">
        <v>2657</v>
      </c>
      <c r="J1109" s="113" t="s">
        <v>8796</v>
      </c>
      <c r="K1109" s="116">
        <v>17.64</v>
      </c>
      <c r="L1109" s="266" t="s">
        <v>2762</v>
      </c>
      <c r="M1109" s="266" t="s">
        <v>2854</v>
      </c>
      <c r="N1109" s="113" t="s">
        <v>66</v>
      </c>
      <c r="O1109" s="113"/>
      <c r="P1109" s="113"/>
      <c r="Q1109" s="113">
        <v>31746.03</v>
      </c>
      <c r="R1109" s="113">
        <v>560000</v>
      </c>
      <c r="S1109" s="121">
        <v>280000</v>
      </c>
      <c r="T1109" s="292">
        <f t="shared" si="341"/>
        <v>280000</v>
      </c>
      <c r="U1109" s="113"/>
      <c r="V1109" s="113"/>
      <c r="W1109" s="113"/>
      <c r="X1109" s="113"/>
      <c r="Y1109" s="113"/>
      <c r="Z1109" s="113"/>
      <c r="AA1109" s="275"/>
      <c r="AB1109" s="113"/>
      <c r="AC1109" s="113"/>
      <c r="AD1109" s="122"/>
      <c r="AE1109" s="133"/>
      <c r="AF1109" s="115"/>
      <c r="AG1109" s="133"/>
      <c r="AH1109" s="133"/>
      <c r="AI1109" s="132">
        <f t="shared" ref="AI1109:AI1124" si="358">S1109+U1109+V1109+W1109+X1109+AC1109+AD1109+AE1109</f>
        <v>280000</v>
      </c>
      <c r="AJ1109" s="132">
        <f t="shared" ref="AJ1109:AJ1123" si="359">S1109+U1109+V1109+W1109+X1109</f>
        <v>280000</v>
      </c>
      <c r="AK1109" s="133">
        <f t="shared" ref="AK1109:AK1124" si="360">AI1109-AJ1109</f>
        <v>0</v>
      </c>
      <c r="AL1109" s="198"/>
      <c r="AM1109" s="133" t="s">
        <v>886</v>
      </c>
      <c r="AN1109" s="246">
        <v>44867</v>
      </c>
      <c r="AO1109" s="100"/>
      <c r="AP1109" s="96"/>
      <c r="AQ1109" s="96"/>
      <c r="AR1109" s="96"/>
      <c r="AS1109" s="96"/>
      <c r="AT1109" s="96"/>
      <c r="AU1109" s="96"/>
      <c r="AV1109" s="96"/>
      <c r="AW1109" s="96"/>
      <c r="AX1109" s="96"/>
      <c r="AY1109" s="96"/>
      <c r="AZ1109" s="96"/>
      <c r="BA1109" s="96"/>
      <c r="BB1109" s="96"/>
      <c r="BC1109" s="96"/>
      <c r="BD1109" s="96"/>
      <c r="BE1109" s="96"/>
    </row>
    <row r="1110" s="97" customFormat="1" customHeight="1" spans="1:57">
      <c r="A1110" s="115" t="s">
        <v>8797</v>
      </c>
      <c r="B1110" s="111" t="s">
        <v>8798</v>
      </c>
      <c r="C1110" s="554" t="s">
        <v>8799</v>
      </c>
      <c r="D1110" s="113" t="s">
        <v>8800</v>
      </c>
      <c r="E1110" s="113" t="s">
        <v>8801</v>
      </c>
      <c r="F1110" s="267">
        <v>4</v>
      </c>
      <c r="G1110" s="268">
        <v>4414</v>
      </c>
      <c r="H1110" s="274">
        <v>19.47</v>
      </c>
      <c r="I1110" s="274" t="s">
        <v>2657</v>
      </c>
      <c r="J1110" s="113" t="s">
        <v>8802</v>
      </c>
      <c r="K1110" s="116">
        <v>19.55</v>
      </c>
      <c r="L1110" s="266" t="s">
        <v>2691</v>
      </c>
      <c r="M1110" s="266" t="s">
        <v>2692</v>
      </c>
      <c r="N1110" s="113" t="s">
        <v>66</v>
      </c>
      <c r="O1110" s="113"/>
      <c r="P1110" s="113"/>
      <c r="Q1110" s="113">
        <v>26809.57</v>
      </c>
      <c r="R1110" s="113">
        <v>524127</v>
      </c>
      <c r="S1110" s="121">
        <v>264127</v>
      </c>
      <c r="T1110" s="292">
        <f t="shared" si="341"/>
        <v>260000</v>
      </c>
      <c r="U1110" s="113"/>
      <c r="V1110" s="113"/>
      <c r="W1110" s="113"/>
      <c r="X1110" s="113"/>
      <c r="Y1110" s="113"/>
      <c r="Z1110" s="113"/>
      <c r="AA1110" s="275"/>
      <c r="AB1110" s="113"/>
      <c r="AC1110" s="113"/>
      <c r="AD1110" s="122"/>
      <c r="AE1110" s="133"/>
      <c r="AF1110" s="115"/>
      <c r="AG1110" s="133"/>
      <c r="AH1110" s="133"/>
      <c r="AI1110" s="132">
        <f t="shared" si="358"/>
        <v>264127</v>
      </c>
      <c r="AJ1110" s="132">
        <f t="shared" si="359"/>
        <v>264127</v>
      </c>
      <c r="AK1110" s="133">
        <f t="shared" si="360"/>
        <v>0</v>
      </c>
      <c r="AL1110" s="198"/>
      <c r="AM1110" s="133" t="s">
        <v>886</v>
      </c>
      <c r="AN1110" s="246">
        <v>44867</v>
      </c>
      <c r="AO1110" s="100"/>
      <c r="AP1110" s="96"/>
      <c r="AQ1110" s="96"/>
      <c r="AR1110" s="96"/>
      <c r="AS1110" s="96"/>
      <c r="AT1110" s="96"/>
      <c r="AU1110" s="96"/>
      <c r="AV1110" s="96"/>
      <c r="AW1110" s="96"/>
      <c r="AX1110" s="96"/>
      <c r="AY1110" s="96"/>
      <c r="AZ1110" s="96"/>
      <c r="BA1110" s="96"/>
      <c r="BB1110" s="96"/>
      <c r="BC1110" s="96"/>
      <c r="BD1110" s="96"/>
      <c r="BE1110" s="96"/>
    </row>
    <row r="1111" s="97" customFormat="1" customHeight="1" spans="1:57">
      <c r="A1111" s="115" t="s">
        <v>8803</v>
      </c>
      <c r="B1111" s="111" t="s">
        <v>8804</v>
      </c>
      <c r="C1111" s="554" t="s">
        <v>8805</v>
      </c>
      <c r="D1111" s="113" t="s">
        <v>8806</v>
      </c>
      <c r="E1111" s="113">
        <v>15136164865</v>
      </c>
      <c r="F1111" s="267">
        <v>4</v>
      </c>
      <c r="G1111" s="268">
        <v>4362</v>
      </c>
      <c r="H1111" s="274">
        <v>20.28</v>
      </c>
      <c r="I1111" s="274" t="s">
        <v>2657</v>
      </c>
      <c r="J1111" s="113" t="s">
        <v>8807</v>
      </c>
      <c r="K1111" s="116">
        <v>17.89</v>
      </c>
      <c r="L1111" s="266" t="s">
        <v>3326</v>
      </c>
      <c r="M1111" s="266" t="s">
        <v>4663</v>
      </c>
      <c r="N1111" s="113" t="s">
        <v>66</v>
      </c>
      <c r="O1111" s="113"/>
      <c r="P1111" s="113"/>
      <c r="Q1111" s="113">
        <v>26312.58</v>
      </c>
      <c r="R1111" s="113">
        <v>533619</v>
      </c>
      <c r="S1111" s="121">
        <v>273619</v>
      </c>
      <c r="T1111" s="292" t="s">
        <v>47</v>
      </c>
      <c r="U1111" s="113">
        <v>260000</v>
      </c>
      <c r="V1111" s="113">
        <v>1318</v>
      </c>
      <c r="W1111" s="113">
        <v>550</v>
      </c>
      <c r="X1111" s="113"/>
      <c r="Y1111" s="113" t="s">
        <v>2669</v>
      </c>
      <c r="Z1111" s="113" t="s">
        <v>48</v>
      </c>
      <c r="AA1111" s="275">
        <v>44077</v>
      </c>
      <c r="AB1111" s="113"/>
      <c r="AC1111" s="113"/>
      <c r="AD1111" s="122"/>
      <c r="AE1111" s="133"/>
      <c r="AF1111" s="115"/>
      <c r="AG1111" s="133"/>
      <c r="AH1111" s="133"/>
      <c r="AI1111" s="132">
        <f t="shared" si="358"/>
        <v>535487</v>
      </c>
      <c r="AJ1111" s="132">
        <f t="shared" si="359"/>
        <v>535487</v>
      </c>
      <c r="AK1111" s="133">
        <f t="shared" si="360"/>
        <v>0</v>
      </c>
      <c r="AL1111" s="198"/>
      <c r="AM1111" s="133" t="s">
        <v>886</v>
      </c>
      <c r="AN1111" s="246">
        <v>44867</v>
      </c>
      <c r="AO1111" s="100"/>
      <c r="AP1111" s="96"/>
      <c r="AQ1111" s="96"/>
      <c r="AR1111" s="96"/>
      <c r="AS1111" s="96"/>
      <c r="AT1111" s="96"/>
      <c r="AU1111" s="96"/>
      <c r="AV1111" s="96"/>
      <c r="AW1111" s="96"/>
      <c r="AX1111" s="96"/>
      <c r="AY1111" s="96"/>
      <c r="AZ1111" s="96"/>
      <c r="BA1111" s="96"/>
      <c r="BB1111" s="96"/>
      <c r="BC1111" s="96"/>
      <c r="BD1111" s="96"/>
      <c r="BE1111" s="96"/>
    </row>
    <row r="1112" s="97" customFormat="1" customHeight="1" spans="1:57">
      <c r="A1112" s="115" t="s">
        <v>8808</v>
      </c>
      <c r="B1112" s="111" t="s">
        <v>8809</v>
      </c>
      <c r="C1112" s="554" t="s">
        <v>8810</v>
      </c>
      <c r="D1112" s="113" t="s">
        <v>8811</v>
      </c>
      <c r="E1112" s="113">
        <v>17788102557</v>
      </c>
      <c r="F1112" s="267">
        <v>4</v>
      </c>
      <c r="G1112" s="268">
        <v>4141</v>
      </c>
      <c r="H1112" s="274">
        <v>13.58</v>
      </c>
      <c r="I1112" s="274" t="s">
        <v>2665</v>
      </c>
      <c r="J1112" s="113" t="s">
        <v>8812</v>
      </c>
      <c r="K1112" s="116">
        <v>16.93</v>
      </c>
      <c r="L1112" s="266" t="s">
        <v>2711</v>
      </c>
      <c r="M1112" s="266" t="s">
        <v>2685</v>
      </c>
      <c r="N1112" s="113" t="s">
        <v>56</v>
      </c>
      <c r="O1112" s="113"/>
      <c r="P1112" s="113"/>
      <c r="Q1112" s="113">
        <v>19898.76</v>
      </c>
      <c r="R1112" s="113">
        <v>270225</v>
      </c>
      <c r="S1112" s="121">
        <v>270225</v>
      </c>
      <c r="T1112" s="292">
        <f t="shared" ref="T1112:T1124" si="361">R1112-S1112</f>
        <v>0</v>
      </c>
      <c r="U1112" s="113"/>
      <c r="V1112" s="113">
        <v>882</v>
      </c>
      <c r="W1112" s="113">
        <v>550</v>
      </c>
      <c r="X1112" s="113">
        <v>65229</v>
      </c>
      <c r="Y1112" s="113" t="s">
        <v>2669</v>
      </c>
      <c r="Z1112" s="113" t="s">
        <v>48</v>
      </c>
      <c r="AA1112" s="275">
        <v>44025</v>
      </c>
      <c r="AB1112" s="113"/>
      <c r="AC1112" s="113"/>
      <c r="AD1112" s="122"/>
      <c r="AE1112" s="133"/>
      <c r="AF1112" s="115"/>
      <c r="AG1112" s="133"/>
      <c r="AH1112" s="133"/>
      <c r="AI1112" s="132">
        <f t="shared" si="358"/>
        <v>336886</v>
      </c>
      <c r="AJ1112" s="132">
        <f t="shared" si="359"/>
        <v>336886</v>
      </c>
      <c r="AK1112" s="133">
        <f t="shared" si="360"/>
        <v>0</v>
      </c>
      <c r="AL1112" s="198"/>
      <c r="AM1112" s="133" t="s">
        <v>886</v>
      </c>
      <c r="AN1112" s="246">
        <v>44867</v>
      </c>
      <c r="AO1112" s="100"/>
      <c r="AP1112" s="96"/>
      <c r="AQ1112" s="96"/>
      <c r="AR1112" s="96"/>
      <c r="AS1112" s="96"/>
      <c r="AT1112" s="96"/>
      <c r="AU1112" s="96"/>
      <c r="AV1112" s="96"/>
      <c r="AW1112" s="96"/>
      <c r="AX1112" s="96"/>
      <c r="AY1112" s="96"/>
      <c r="AZ1112" s="96"/>
      <c r="BA1112" s="96"/>
      <c r="BB1112" s="96"/>
      <c r="BC1112" s="96"/>
      <c r="BD1112" s="96"/>
      <c r="BE1112" s="96"/>
    </row>
    <row r="1113" s="97" customFormat="1" customHeight="1" spans="1:57">
      <c r="A1113" s="115" t="s">
        <v>8813</v>
      </c>
      <c r="B1113" s="111" t="s">
        <v>8814</v>
      </c>
      <c r="C1113" s="111" t="s">
        <v>8815</v>
      </c>
      <c r="D1113" s="113" t="s">
        <v>8816</v>
      </c>
      <c r="E1113" s="113">
        <v>13608681920</v>
      </c>
      <c r="F1113" s="267">
        <v>4</v>
      </c>
      <c r="G1113" s="268">
        <v>4180</v>
      </c>
      <c r="H1113" s="274">
        <v>48.9</v>
      </c>
      <c r="I1113" s="274" t="s">
        <v>2657</v>
      </c>
      <c r="J1113" s="113" t="s">
        <v>8817</v>
      </c>
      <c r="K1113" s="116">
        <v>47.25</v>
      </c>
      <c r="L1113" s="266" t="s">
        <v>3686</v>
      </c>
      <c r="M1113" s="266" t="s">
        <v>4369</v>
      </c>
      <c r="N1113" s="113" t="s">
        <v>66</v>
      </c>
      <c r="O1113" s="113"/>
      <c r="P1113" s="113"/>
      <c r="Q1113" s="113">
        <v>26082.98</v>
      </c>
      <c r="R1113" s="113">
        <v>1232421</v>
      </c>
      <c r="S1113" s="121">
        <v>622421</v>
      </c>
      <c r="T1113" s="292">
        <f t="shared" si="361"/>
        <v>610000</v>
      </c>
      <c r="U1113" s="113"/>
      <c r="V1113" s="113"/>
      <c r="W1113" s="113"/>
      <c r="X1113" s="113"/>
      <c r="Y1113" s="113"/>
      <c r="Z1113" s="113"/>
      <c r="AA1113" s="275"/>
      <c r="AB1113" s="113"/>
      <c r="AC1113" s="113"/>
      <c r="AD1113" s="122"/>
      <c r="AE1113" s="133"/>
      <c r="AF1113" s="115"/>
      <c r="AG1113" s="133"/>
      <c r="AH1113" s="133"/>
      <c r="AI1113" s="132">
        <f t="shared" si="358"/>
        <v>622421</v>
      </c>
      <c r="AJ1113" s="132">
        <f t="shared" si="359"/>
        <v>622421</v>
      </c>
      <c r="AK1113" s="133">
        <f t="shared" si="360"/>
        <v>0</v>
      </c>
      <c r="AL1113" s="198"/>
      <c r="AM1113" s="133" t="s">
        <v>886</v>
      </c>
      <c r="AN1113" s="246">
        <v>44867</v>
      </c>
      <c r="AO1113" s="100"/>
      <c r="AP1113" s="96"/>
      <c r="AQ1113" s="96"/>
      <c r="AR1113" s="96"/>
      <c r="AS1113" s="96"/>
      <c r="AT1113" s="96"/>
      <c r="AU1113" s="96"/>
      <c r="AV1113" s="96"/>
      <c r="AW1113" s="96"/>
      <c r="AX1113" s="96"/>
      <c r="AY1113" s="96"/>
      <c r="AZ1113" s="96"/>
      <c r="BA1113" s="96"/>
      <c r="BB1113" s="96"/>
      <c r="BC1113" s="96"/>
      <c r="BD1113" s="96"/>
      <c r="BE1113" s="96"/>
    </row>
    <row r="1114" s="97" customFormat="1" customHeight="1" spans="1:57">
      <c r="A1114" s="115" t="s">
        <v>8818</v>
      </c>
      <c r="B1114" s="111" t="s">
        <v>8819</v>
      </c>
      <c r="C1114" s="554" t="s">
        <v>8820</v>
      </c>
      <c r="D1114" s="113" t="s">
        <v>8821</v>
      </c>
      <c r="E1114" s="113">
        <v>15938773600</v>
      </c>
      <c r="F1114" s="267">
        <v>3</v>
      </c>
      <c r="G1114" s="268">
        <v>3952</v>
      </c>
      <c r="H1114" s="274">
        <v>14.6</v>
      </c>
      <c r="I1114" s="274" t="s">
        <v>2657</v>
      </c>
      <c r="J1114" s="113" t="s">
        <v>8822</v>
      </c>
      <c r="K1114" s="116">
        <v>14.73</v>
      </c>
      <c r="L1114" s="266" t="s">
        <v>4771</v>
      </c>
      <c r="M1114" s="266" t="s">
        <v>8823</v>
      </c>
      <c r="N1114" s="113" t="s">
        <v>66</v>
      </c>
      <c r="O1114" s="113"/>
      <c r="P1114" s="113"/>
      <c r="Q1114" s="113">
        <v>32191.78</v>
      </c>
      <c r="R1114" s="113">
        <v>470000</v>
      </c>
      <c r="S1114" s="121">
        <v>240000</v>
      </c>
      <c r="T1114" s="292">
        <f t="shared" si="361"/>
        <v>230000</v>
      </c>
      <c r="U1114" s="113"/>
      <c r="V1114" s="113">
        <v>949</v>
      </c>
      <c r="W1114" s="113">
        <v>550</v>
      </c>
      <c r="X1114" s="113"/>
      <c r="Y1114" s="113"/>
      <c r="Z1114" s="113"/>
      <c r="AA1114" s="275"/>
      <c r="AB1114" s="113" t="s">
        <v>8824</v>
      </c>
      <c r="AC1114" s="113"/>
      <c r="AD1114" s="122"/>
      <c r="AE1114" s="133"/>
      <c r="AF1114" s="115"/>
      <c r="AG1114" s="133"/>
      <c r="AH1114" s="133"/>
      <c r="AI1114" s="132">
        <f t="shared" si="358"/>
        <v>241499</v>
      </c>
      <c r="AJ1114" s="132">
        <f t="shared" si="359"/>
        <v>241499</v>
      </c>
      <c r="AK1114" s="133">
        <f t="shared" si="360"/>
        <v>0</v>
      </c>
      <c r="AL1114" s="198"/>
      <c r="AM1114" s="133" t="s">
        <v>886</v>
      </c>
      <c r="AN1114" s="246">
        <v>44867</v>
      </c>
      <c r="AO1114" s="100"/>
      <c r="AP1114" s="96"/>
      <c r="AQ1114" s="96"/>
      <c r="AR1114" s="96"/>
      <c r="AS1114" s="96"/>
      <c r="AT1114" s="96"/>
      <c r="AU1114" s="96"/>
      <c r="AV1114" s="96"/>
      <c r="AW1114" s="96"/>
      <c r="AX1114" s="96"/>
      <c r="AY1114" s="96"/>
      <c r="AZ1114" s="96"/>
      <c r="BA1114" s="96"/>
      <c r="BB1114" s="96"/>
      <c r="BC1114" s="96"/>
      <c r="BD1114" s="96"/>
      <c r="BE1114" s="96"/>
    </row>
    <row r="1115" s="97" customFormat="1" customHeight="1" spans="1:57">
      <c r="A1115" s="115" t="s">
        <v>8825</v>
      </c>
      <c r="B1115" s="111" t="s">
        <v>8826</v>
      </c>
      <c r="C1115" s="111" t="s">
        <v>8827</v>
      </c>
      <c r="D1115" s="113" t="s">
        <v>8828</v>
      </c>
      <c r="E1115" s="113">
        <v>18339922591</v>
      </c>
      <c r="F1115" s="267">
        <v>3</v>
      </c>
      <c r="G1115" s="268">
        <v>3846</v>
      </c>
      <c r="H1115" s="274">
        <v>16.72</v>
      </c>
      <c r="I1115" s="274" t="s">
        <v>2657</v>
      </c>
      <c r="J1115" s="113" t="s">
        <v>8829</v>
      </c>
      <c r="K1115" s="116">
        <v>14.06</v>
      </c>
      <c r="L1115" s="266" t="s">
        <v>6031</v>
      </c>
      <c r="M1115" s="266" t="s">
        <v>3125</v>
      </c>
      <c r="N1115" s="113" t="s">
        <v>66</v>
      </c>
      <c r="O1115" s="113"/>
      <c r="P1115" s="113"/>
      <c r="Q1115" s="113">
        <v>33297.65</v>
      </c>
      <c r="R1115" s="113">
        <v>468165</v>
      </c>
      <c r="S1115" s="121">
        <v>238165</v>
      </c>
      <c r="T1115" s="292">
        <f t="shared" si="361"/>
        <v>230000</v>
      </c>
      <c r="U1115" s="113"/>
      <c r="V1115" s="113"/>
      <c r="W1115" s="113"/>
      <c r="X1115" s="113"/>
      <c r="Y1115" s="113"/>
      <c r="Z1115" s="113"/>
      <c r="AA1115" s="275"/>
      <c r="AB1115" s="113"/>
      <c r="AC1115" s="113"/>
      <c r="AD1115" s="122"/>
      <c r="AE1115" s="133"/>
      <c r="AF1115" s="115"/>
      <c r="AG1115" s="133"/>
      <c r="AH1115" s="133"/>
      <c r="AI1115" s="132">
        <f t="shared" si="358"/>
        <v>238165</v>
      </c>
      <c r="AJ1115" s="132">
        <f t="shared" si="359"/>
        <v>238165</v>
      </c>
      <c r="AK1115" s="133">
        <f t="shared" si="360"/>
        <v>0</v>
      </c>
      <c r="AL1115" s="198"/>
      <c r="AM1115" s="133" t="s">
        <v>886</v>
      </c>
      <c r="AN1115" s="246">
        <v>44867</v>
      </c>
      <c r="AO1115" s="100"/>
      <c r="AP1115" s="96"/>
      <c r="AQ1115" s="96"/>
      <c r="AR1115" s="96"/>
      <c r="AS1115" s="96"/>
      <c r="AT1115" s="96"/>
      <c r="AU1115" s="96"/>
      <c r="AV1115" s="96"/>
      <c r="AW1115" s="96"/>
      <c r="AX1115" s="96"/>
      <c r="AY1115" s="96"/>
      <c r="AZ1115" s="96"/>
      <c r="BA1115" s="96"/>
      <c r="BB1115" s="96"/>
      <c r="BC1115" s="96"/>
      <c r="BD1115" s="96"/>
      <c r="BE1115" s="96"/>
    </row>
    <row r="1116" s="97" customFormat="1" customHeight="1" spans="1:57">
      <c r="A1116" s="115" t="s">
        <v>8830</v>
      </c>
      <c r="B1116" s="111" t="s">
        <v>8831</v>
      </c>
      <c r="C1116" s="111" t="s">
        <v>8832</v>
      </c>
      <c r="D1116" s="113" t="s">
        <v>8833</v>
      </c>
      <c r="E1116" s="113">
        <v>13598792738</v>
      </c>
      <c r="F1116" s="267">
        <v>3</v>
      </c>
      <c r="G1116" s="268">
        <v>3824</v>
      </c>
      <c r="H1116" s="274">
        <v>16.43</v>
      </c>
      <c r="I1116" s="274" t="s">
        <v>2657</v>
      </c>
      <c r="J1116" s="113" t="s">
        <v>8834</v>
      </c>
      <c r="K1116" s="116">
        <v>16.91</v>
      </c>
      <c r="L1116" s="266" t="s">
        <v>4202</v>
      </c>
      <c r="M1116" s="266" t="s">
        <v>4289</v>
      </c>
      <c r="N1116" s="113" t="s">
        <v>56</v>
      </c>
      <c r="O1116" s="113"/>
      <c r="P1116" s="113"/>
      <c r="Q1116" s="113">
        <v>32421.53</v>
      </c>
      <c r="R1116" s="113">
        <v>532686</v>
      </c>
      <c r="S1116" s="121">
        <v>532686</v>
      </c>
      <c r="T1116" s="292">
        <f t="shared" si="361"/>
        <v>0</v>
      </c>
      <c r="U1116" s="113"/>
      <c r="V1116" s="113">
        <v>1067</v>
      </c>
      <c r="W1116" s="113">
        <v>550</v>
      </c>
      <c r="X1116" s="113"/>
      <c r="Y1116" s="113" t="s">
        <v>2669</v>
      </c>
      <c r="Z1116" s="113" t="s">
        <v>48</v>
      </c>
      <c r="AA1116" s="275">
        <v>44051</v>
      </c>
      <c r="AB1116" s="113"/>
      <c r="AC1116" s="113"/>
      <c r="AD1116" s="122"/>
      <c r="AE1116" s="133"/>
      <c r="AF1116" s="115"/>
      <c r="AG1116" s="133"/>
      <c r="AH1116" s="133"/>
      <c r="AI1116" s="132">
        <f t="shared" si="358"/>
        <v>534303</v>
      </c>
      <c r="AJ1116" s="132">
        <f t="shared" si="359"/>
        <v>534303</v>
      </c>
      <c r="AK1116" s="133">
        <f t="shared" si="360"/>
        <v>0</v>
      </c>
      <c r="AL1116" s="198"/>
      <c r="AM1116" s="133" t="s">
        <v>886</v>
      </c>
      <c r="AN1116" s="246">
        <v>44867</v>
      </c>
      <c r="AO1116" s="100"/>
      <c r="AP1116" s="96"/>
      <c r="AQ1116" s="96"/>
      <c r="AR1116" s="96"/>
      <c r="AS1116" s="96"/>
      <c r="AT1116" s="96"/>
      <c r="AU1116" s="96"/>
      <c r="AV1116" s="96"/>
      <c r="AW1116" s="96"/>
      <c r="AX1116" s="96"/>
      <c r="AY1116" s="96"/>
      <c r="AZ1116" s="96"/>
      <c r="BA1116" s="96"/>
      <c r="BB1116" s="96"/>
      <c r="BC1116" s="96"/>
      <c r="BD1116" s="96"/>
      <c r="BE1116" s="96"/>
    </row>
    <row r="1117" s="97" customFormat="1" customHeight="1" spans="1:57">
      <c r="A1117" s="115" t="s">
        <v>8835</v>
      </c>
      <c r="B1117" s="111" t="s">
        <v>8836</v>
      </c>
      <c r="C1117" s="111" t="s">
        <v>8837</v>
      </c>
      <c r="D1117" s="113" t="s">
        <v>8838</v>
      </c>
      <c r="E1117" s="113">
        <v>15139059148</v>
      </c>
      <c r="F1117" s="267">
        <v>3</v>
      </c>
      <c r="G1117" s="268">
        <v>3620</v>
      </c>
      <c r="H1117" s="274">
        <v>20.12</v>
      </c>
      <c r="I1117" s="274" t="s">
        <v>2657</v>
      </c>
      <c r="J1117" s="113" t="s">
        <v>8839</v>
      </c>
      <c r="K1117" s="116">
        <v>18.07</v>
      </c>
      <c r="L1117" s="266" t="s">
        <v>4879</v>
      </c>
      <c r="M1117" s="266" t="s">
        <v>3824</v>
      </c>
      <c r="N1117" s="113" t="s">
        <v>66</v>
      </c>
      <c r="O1117" s="113"/>
      <c r="P1117" s="113"/>
      <c r="Q1117" s="113">
        <v>31105.77</v>
      </c>
      <c r="R1117" s="113">
        <v>625848</v>
      </c>
      <c r="S1117" s="121">
        <v>315848</v>
      </c>
      <c r="T1117" s="292">
        <f t="shared" si="361"/>
        <v>310000</v>
      </c>
      <c r="U1117" s="113"/>
      <c r="V1117" s="113">
        <v>1307</v>
      </c>
      <c r="W1117" s="113">
        <v>550</v>
      </c>
      <c r="X1117" s="113"/>
      <c r="Y1117" s="113" t="s">
        <v>2669</v>
      </c>
      <c r="Z1117" s="113" t="s">
        <v>48</v>
      </c>
      <c r="AA1117" s="275">
        <v>44189</v>
      </c>
      <c r="AB1117" s="113"/>
      <c r="AC1117" s="113"/>
      <c r="AD1117" s="122"/>
      <c r="AE1117" s="133"/>
      <c r="AF1117" s="115"/>
      <c r="AG1117" s="133"/>
      <c r="AH1117" s="133"/>
      <c r="AI1117" s="132">
        <f t="shared" si="358"/>
        <v>317705</v>
      </c>
      <c r="AJ1117" s="132">
        <f t="shared" si="359"/>
        <v>317705</v>
      </c>
      <c r="AK1117" s="133">
        <f t="shared" si="360"/>
        <v>0</v>
      </c>
      <c r="AL1117" s="198"/>
      <c r="AM1117" s="133" t="s">
        <v>886</v>
      </c>
      <c r="AN1117" s="246">
        <v>44867</v>
      </c>
      <c r="AO1117" s="100"/>
      <c r="AP1117" s="96"/>
      <c r="AQ1117" s="96"/>
      <c r="AR1117" s="96"/>
      <c r="AS1117" s="96"/>
      <c r="AT1117" s="96"/>
      <c r="AU1117" s="96"/>
      <c r="AV1117" s="96"/>
      <c r="AW1117" s="96"/>
      <c r="AX1117" s="96"/>
      <c r="AY1117" s="96"/>
      <c r="AZ1117" s="96"/>
      <c r="BA1117" s="96"/>
      <c r="BB1117" s="96"/>
      <c r="BC1117" s="96"/>
      <c r="BD1117" s="96"/>
      <c r="BE1117" s="96"/>
    </row>
    <row r="1118" s="97" customFormat="1" customHeight="1" spans="1:57">
      <c r="A1118" s="115" t="s">
        <v>8840</v>
      </c>
      <c r="B1118" s="111" t="s">
        <v>8841</v>
      </c>
      <c r="C1118" s="111" t="s">
        <v>8842</v>
      </c>
      <c r="D1118" s="113" t="s">
        <v>8843</v>
      </c>
      <c r="E1118" s="113">
        <v>15003815221</v>
      </c>
      <c r="F1118" s="267">
        <v>3</v>
      </c>
      <c r="G1118" s="268">
        <v>3611</v>
      </c>
      <c r="H1118" s="274">
        <v>14.42</v>
      </c>
      <c r="I1118" s="274" t="s">
        <v>2657</v>
      </c>
      <c r="J1118" s="113" t="s">
        <v>8844</v>
      </c>
      <c r="K1118" s="116">
        <v>13.74</v>
      </c>
      <c r="L1118" s="266" t="s">
        <v>2961</v>
      </c>
      <c r="M1118" s="266" t="s">
        <v>4288</v>
      </c>
      <c r="N1118" s="113" t="s">
        <v>66</v>
      </c>
      <c r="O1118" s="113"/>
      <c r="P1118" s="113"/>
      <c r="Q1118" s="113">
        <v>32085.15</v>
      </c>
      <c r="R1118" s="113">
        <v>440850</v>
      </c>
      <c r="S1118" s="121">
        <v>220850</v>
      </c>
      <c r="T1118" s="292">
        <f t="shared" si="361"/>
        <v>220000</v>
      </c>
      <c r="U1118" s="113"/>
      <c r="V1118" s="113"/>
      <c r="W1118" s="113"/>
      <c r="X1118" s="113"/>
      <c r="Y1118" s="113"/>
      <c r="Z1118" s="113"/>
      <c r="AA1118" s="275"/>
      <c r="AB1118" s="113"/>
      <c r="AC1118" s="113"/>
      <c r="AD1118" s="122"/>
      <c r="AE1118" s="133"/>
      <c r="AF1118" s="115"/>
      <c r="AG1118" s="133"/>
      <c r="AH1118" s="133"/>
      <c r="AI1118" s="132">
        <f t="shared" si="358"/>
        <v>220850</v>
      </c>
      <c r="AJ1118" s="132">
        <f t="shared" si="359"/>
        <v>220850</v>
      </c>
      <c r="AK1118" s="133">
        <f t="shared" si="360"/>
        <v>0</v>
      </c>
      <c r="AL1118" s="198"/>
      <c r="AM1118" s="133" t="s">
        <v>886</v>
      </c>
      <c r="AN1118" s="246">
        <v>44867</v>
      </c>
      <c r="AO1118" s="100"/>
      <c r="AP1118" s="96"/>
      <c r="AQ1118" s="96"/>
      <c r="AR1118" s="96"/>
      <c r="AS1118" s="96"/>
      <c r="AT1118" s="96"/>
      <c r="AU1118" s="96"/>
      <c r="AV1118" s="96"/>
      <c r="AW1118" s="96"/>
      <c r="AX1118" s="96"/>
      <c r="AY1118" s="96"/>
      <c r="AZ1118" s="96"/>
      <c r="BA1118" s="96"/>
      <c r="BB1118" s="96"/>
      <c r="BC1118" s="96"/>
      <c r="BD1118" s="96"/>
      <c r="BE1118" s="96"/>
    </row>
    <row r="1119" s="97" customFormat="1" customHeight="1" spans="1:57">
      <c r="A1119" s="115" t="s">
        <v>8845</v>
      </c>
      <c r="B1119" s="111" t="s">
        <v>8846</v>
      </c>
      <c r="C1119" s="111" t="s">
        <v>8847</v>
      </c>
      <c r="D1119" s="113" t="s">
        <v>8848</v>
      </c>
      <c r="E1119" s="113">
        <v>13623853491</v>
      </c>
      <c r="F1119" s="267">
        <v>3</v>
      </c>
      <c r="G1119" s="268">
        <v>3825</v>
      </c>
      <c r="H1119" s="274">
        <v>16.43</v>
      </c>
      <c r="I1119" s="274" t="s">
        <v>2657</v>
      </c>
      <c r="J1119" s="113" t="s">
        <v>8849</v>
      </c>
      <c r="K1119" s="116">
        <v>16.91</v>
      </c>
      <c r="L1119" s="266" t="s">
        <v>8571</v>
      </c>
      <c r="M1119" s="266" t="s">
        <v>7460</v>
      </c>
      <c r="N1119" s="113" t="s">
        <v>56</v>
      </c>
      <c r="O1119" s="113"/>
      <c r="P1119" s="113"/>
      <c r="Q1119" s="113">
        <v>31454.9</v>
      </c>
      <c r="R1119" s="113">
        <v>516804</v>
      </c>
      <c r="S1119" s="121">
        <v>516804</v>
      </c>
      <c r="T1119" s="292">
        <f t="shared" si="361"/>
        <v>0</v>
      </c>
      <c r="U1119" s="113"/>
      <c r="V1119" s="113">
        <v>1067</v>
      </c>
      <c r="W1119" s="113">
        <v>550</v>
      </c>
      <c r="X1119" s="113"/>
      <c r="Y1119" s="113" t="s">
        <v>2669</v>
      </c>
      <c r="Z1119" s="113" t="s">
        <v>48</v>
      </c>
      <c r="AA1119" s="275">
        <v>44076</v>
      </c>
      <c r="AB1119" s="113"/>
      <c r="AC1119" s="113"/>
      <c r="AD1119" s="122"/>
      <c r="AE1119" s="133"/>
      <c r="AF1119" s="115"/>
      <c r="AG1119" s="133"/>
      <c r="AH1119" s="133"/>
      <c r="AI1119" s="132">
        <f t="shared" si="358"/>
        <v>518421</v>
      </c>
      <c r="AJ1119" s="132">
        <f t="shared" si="359"/>
        <v>518421</v>
      </c>
      <c r="AK1119" s="133">
        <f t="shared" si="360"/>
        <v>0</v>
      </c>
      <c r="AL1119" s="198"/>
      <c r="AM1119" s="133" t="s">
        <v>886</v>
      </c>
      <c r="AN1119" s="246">
        <v>44867</v>
      </c>
      <c r="AO1119" s="100"/>
      <c r="AP1119" s="96"/>
      <c r="AQ1119" s="96"/>
      <c r="AR1119" s="96"/>
      <c r="AS1119" s="96"/>
      <c r="AT1119" s="96"/>
      <c r="AU1119" s="96"/>
      <c r="AV1119" s="96"/>
      <c r="AW1119" s="96"/>
      <c r="AX1119" s="96"/>
      <c r="AY1119" s="96"/>
      <c r="AZ1119" s="96"/>
      <c r="BA1119" s="96"/>
      <c r="BB1119" s="96"/>
      <c r="BC1119" s="96"/>
      <c r="BD1119" s="96"/>
      <c r="BE1119" s="96"/>
    </row>
    <row r="1120" s="97" customFormat="1" customHeight="1" spans="1:57">
      <c r="A1120" s="115" t="s">
        <v>8850</v>
      </c>
      <c r="B1120" s="111" t="s">
        <v>8851</v>
      </c>
      <c r="C1120" s="554" t="s">
        <v>8852</v>
      </c>
      <c r="D1120" s="113" t="s">
        <v>8853</v>
      </c>
      <c r="E1120" s="113">
        <v>13607699368</v>
      </c>
      <c r="F1120" s="267">
        <v>4</v>
      </c>
      <c r="G1120" s="268">
        <v>4289</v>
      </c>
      <c r="H1120" s="274">
        <v>12.73</v>
      </c>
      <c r="I1120" s="274" t="s">
        <v>2657</v>
      </c>
      <c r="J1120" s="113" t="s">
        <v>8854</v>
      </c>
      <c r="K1120" s="116">
        <v>11.4</v>
      </c>
      <c r="L1120" s="266" t="s">
        <v>3988</v>
      </c>
      <c r="M1120" s="266" t="s">
        <v>2807</v>
      </c>
      <c r="N1120" s="113" t="s">
        <v>66</v>
      </c>
      <c r="O1120" s="113"/>
      <c r="P1120" s="113"/>
      <c r="Q1120" s="113">
        <v>26287.63</v>
      </c>
      <c r="R1120" s="113">
        <v>299679</v>
      </c>
      <c r="S1120" s="121">
        <v>159679</v>
      </c>
      <c r="T1120" s="292">
        <f t="shared" si="361"/>
        <v>140000</v>
      </c>
      <c r="U1120" s="113"/>
      <c r="V1120" s="113"/>
      <c r="W1120" s="113"/>
      <c r="X1120" s="113"/>
      <c r="Y1120" s="113"/>
      <c r="Z1120" s="113"/>
      <c r="AA1120" s="275"/>
      <c r="AB1120" s="113"/>
      <c r="AC1120" s="113"/>
      <c r="AD1120" s="122"/>
      <c r="AE1120" s="133"/>
      <c r="AF1120" s="115"/>
      <c r="AG1120" s="133"/>
      <c r="AH1120" s="133"/>
      <c r="AI1120" s="132">
        <f t="shared" si="358"/>
        <v>159679</v>
      </c>
      <c r="AJ1120" s="132">
        <f t="shared" si="359"/>
        <v>159679</v>
      </c>
      <c r="AK1120" s="133">
        <f t="shared" si="360"/>
        <v>0</v>
      </c>
      <c r="AL1120" s="198"/>
      <c r="AM1120" s="133" t="s">
        <v>886</v>
      </c>
      <c r="AN1120" s="246">
        <v>44867</v>
      </c>
      <c r="AO1120" s="100"/>
      <c r="AP1120" s="96"/>
      <c r="AQ1120" s="96"/>
      <c r="AR1120" s="96"/>
      <c r="AS1120" s="96"/>
      <c r="AT1120" s="96"/>
      <c r="AU1120" s="96"/>
      <c r="AV1120" s="96"/>
      <c r="AW1120" s="96"/>
      <c r="AX1120" s="96"/>
      <c r="AY1120" s="96"/>
      <c r="AZ1120" s="96"/>
      <c r="BA1120" s="96"/>
      <c r="BB1120" s="96"/>
      <c r="BC1120" s="96"/>
      <c r="BD1120" s="96"/>
      <c r="BE1120" s="96"/>
    </row>
    <row r="1121" s="97" customFormat="1" customHeight="1" spans="1:57">
      <c r="A1121" s="115" t="s">
        <v>8855</v>
      </c>
      <c r="B1121" s="111" t="s">
        <v>8856</v>
      </c>
      <c r="C1121" s="554" t="s">
        <v>8857</v>
      </c>
      <c r="D1121" s="113" t="s">
        <v>8858</v>
      </c>
      <c r="E1121" s="113">
        <v>13333868958</v>
      </c>
      <c r="F1121" s="267">
        <v>4</v>
      </c>
      <c r="G1121" s="268">
        <v>4275</v>
      </c>
      <c r="H1121" s="274">
        <v>10.04</v>
      </c>
      <c r="I1121" s="274" t="s">
        <v>2657</v>
      </c>
      <c r="J1121" s="113" t="s">
        <v>8859</v>
      </c>
      <c r="K1121" s="116">
        <v>8.99</v>
      </c>
      <c r="L1121" s="266" t="s">
        <v>3674</v>
      </c>
      <c r="M1121" s="266" t="s">
        <v>3219</v>
      </c>
      <c r="N1121" s="113" t="s">
        <v>56</v>
      </c>
      <c r="O1121" s="113"/>
      <c r="P1121" s="113"/>
      <c r="Q1121" s="113">
        <v>27341.14</v>
      </c>
      <c r="R1121" s="113">
        <v>274505</v>
      </c>
      <c r="S1121" s="121">
        <v>274505</v>
      </c>
      <c r="T1121" s="292">
        <f t="shared" si="361"/>
        <v>0</v>
      </c>
      <c r="U1121" s="113"/>
      <c r="V1121" s="113">
        <v>652</v>
      </c>
      <c r="W1121" s="113">
        <v>550</v>
      </c>
      <c r="X1121" s="113"/>
      <c r="Y1121" s="113" t="s">
        <v>2669</v>
      </c>
      <c r="Z1121" s="113" t="s">
        <v>48</v>
      </c>
      <c r="AA1121" s="275">
        <v>44080</v>
      </c>
      <c r="AB1121" s="113"/>
      <c r="AC1121" s="113"/>
      <c r="AD1121" s="122"/>
      <c r="AE1121" s="133"/>
      <c r="AF1121" s="115"/>
      <c r="AG1121" s="133"/>
      <c r="AH1121" s="133"/>
      <c r="AI1121" s="132">
        <f t="shared" si="358"/>
        <v>275707</v>
      </c>
      <c r="AJ1121" s="132">
        <f t="shared" si="359"/>
        <v>275707</v>
      </c>
      <c r="AK1121" s="133">
        <f t="shared" si="360"/>
        <v>0</v>
      </c>
      <c r="AL1121" s="198"/>
      <c r="AM1121" s="133" t="s">
        <v>886</v>
      </c>
      <c r="AN1121" s="246">
        <v>44867</v>
      </c>
      <c r="AO1121" s="100"/>
      <c r="AP1121" s="96"/>
      <c r="AQ1121" s="96"/>
      <c r="AR1121" s="96"/>
      <c r="AS1121" s="96"/>
      <c r="AT1121" s="96"/>
      <c r="AU1121" s="96"/>
      <c r="AV1121" s="96"/>
      <c r="AW1121" s="96"/>
      <c r="AX1121" s="96"/>
      <c r="AY1121" s="96"/>
      <c r="AZ1121" s="96"/>
      <c r="BA1121" s="96"/>
      <c r="BB1121" s="96"/>
      <c r="BC1121" s="96"/>
      <c r="BD1121" s="96"/>
      <c r="BE1121" s="96"/>
    </row>
    <row r="1122" s="97" customFormat="1" customHeight="1" spans="1:57">
      <c r="A1122" s="115" t="s">
        <v>8860</v>
      </c>
      <c r="B1122" s="111" t="s">
        <v>8861</v>
      </c>
      <c r="C1122" s="111" t="s">
        <v>8862</v>
      </c>
      <c r="D1122" s="113" t="s">
        <v>8863</v>
      </c>
      <c r="E1122" s="113">
        <v>15713670099</v>
      </c>
      <c r="F1122" s="267">
        <v>3</v>
      </c>
      <c r="G1122" s="268">
        <v>3815</v>
      </c>
      <c r="H1122" s="274">
        <v>15.02</v>
      </c>
      <c r="I1122" s="274" t="s">
        <v>2657</v>
      </c>
      <c r="J1122" s="113" t="s">
        <v>8864</v>
      </c>
      <c r="K1122" s="116">
        <v>12.15</v>
      </c>
      <c r="L1122" s="266" t="s">
        <v>4806</v>
      </c>
      <c r="M1122" s="266" t="s">
        <v>4139</v>
      </c>
      <c r="N1122" s="113" t="s">
        <v>2677</v>
      </c>
      <c r="O1122" s="113"/>
      <c r="P1122" s="113"/>
      <c r="Q1122" s="113">
        <v>32382.8</v>
      </c>
      <c r="R1122" s="113">
        <v>393451</v>
      </c>
      <c r="S1122" s="121">
        <v>203451</v>
      </c>
      <c r="T1122" s="292">
        <f t="shared" si="361"/>
        <v>190000</v>
      </c>
      <c r="U1122" s="113"/>
      <c r="V1122" s="113"/>
      <c r="W1122" s="113"/>
      <c r="X1122" s="113"/>
      <c r="Y1122" s="113"/>
      <c r="Z1122" s="113"/>
      <c r="AA1122" s="275"/>
      <c r="AB1122" s="113"/>
      <c r="AC1122" s="113"/>
      <c r="AD1122" s="122"/>
      <c r="AE1122" s="133"/>
      <c r="AF1122" s="115"/>
      <c r="AG1122" s="133"/>
      <c r="AH1122" s="133"/>
      <c r="AI1122" s="132">
        <f t="shared" si="358"/>
        <v>203451</v>
      </c>
      <c r="AJ1122" s="132">
        <f t="shared" si="359"/>
        <v>203451</v>
      </c>
      <c r="AK1122" s="133">
        <f t="shared" si="360"/>
        <v>0</v>
      </c>
      <c r="AL1122" s="198"/>
      <c r="AM1122" s="133" t="s">
        <v>886</v>
      </c>
      <c r="AN1122" s="246">
        <v>44867</v>
      </c>
      <c r="AO1122" s="100"/>
      <c r="AP1122" s="96"/>
      <c r="AQ1122" s="96"/>
      <c r="AR1122" s="96"/>
      <c r="AS1122" s="96"/>
      <c r="AT1122" s="96"/>
      <c r="AU1122" s="96"/>
      <c r="AV1122" s="96"/>
      <c r="AW1122" s="96"/>
      <c r="AX1122" s="96"/>
      <c r="AY1122" s="96"/>
      <c r="AZ1122" s="96"/>
      <c r="BA1122" s="96"/>
      <c r="BB1122" s="96"/>
      <c r="BC1122" s="96"/>
      <c r="BD1122" s="96"/>
      <c r="BE1122" s="96"/>
    </row>
    <row r="1123" s="97" customFormat="1" customHeight="1" spans="1:57">
      <c r="A1123" s="115" t="s">
        <v>8865</v>
      </c>
      <c r="B1123" s="111" t="s">
        <v>8866</v>
      </c>
      <c r="C1123" s="111" t="s">
        <v>8867</v>
      </c>
      <c r="D1123" s="113" t="s">
        <v>8868</v>
      </c>
      <c r="E1123" s="113">
        <v>19943838889</v>
      </c>
      <c r="F1123" s="267">
        <v>3</v>
      </c>
      <c r="G1123" s="268">
        <v>3978</v>
      </c>
      <c r="H1123" s="274">
        <v>16.3</v>
      </c>
      <c r="I1123" s="274" t="s">
        <v>2657</v>
      </c>
      <c r="J1123" s="113" t="s">
        <v>8869</v>
      </c>
      <c r="K1123" s="116">
        <v>15.76</v>
      </c>
      <c r="L1123" s="266" t="s">
        <v>6305</v>
      </c>
      <c r="M1123" s="266"/>
      <c r="N1123" s="113" t="s">
        <v>66</v>
      </c>
      <c r="O1123" s="113"/>
      <c r="P1123" s="113"/>
      <c r="Q1123" s="113"/>
      <c r="R1123" s="113"/>
      <c r="S1123" s="121">
        <v>20000</v>
      </c>
      <c r="T1123" s="292">
        <f t="shared" si="361"/>
        <v>-20000</v>
      </c>
      <c r="U1123" s="113"/>
      <c r="V1123" s="113"/>
      <c r="W1123" s="113"/>
      <c r="X1123" s="113"/>
      <c r="Y1123" s="113"/>
      <c r="Z1123" s="113"/>
      <c r="AA1123" s="275"/>
      <c r="AB1123" s="113"/>
      <c r="AC1123" s="113"/>
      <c r="AD1123" s="122"/>
      <c r="AE1123" s="133"/>
      <c r="AF1123" s="115"/>
      <c r="AG1123" s="133"/>
      <c r="AH1123" s="133"/>
      <c r="AI1123" s="132">
        <f t="shared" si="358"/>
        <v>20000</v>
      </c>
      <c r="AJ1123" s="132">
        <f t="shared" si="359"/>
        <v>20000</v>
      </c>
      <c r="AK1123" s="133">
        <f t="shared" si="360"/>
        <v>0</v>
      </c>
      <c r="AL1123" s="198"/>
      <c r="AM1123" s="133" t="s">
        <v>886</v>
      </c>
      <c r="AN1123" s="246">
        <v>44867</v>
      </c>
      <c r="AO1123" s="100"/>
      <c r="AP1123" s="96"/>
      <c r="AQ1123" s="96"/>
      <c r="AR1123" s="96"/>
      <c r="AS1123" s="96"/>
      <c r="AT1123" s="96"/>
      <c r="AU1123" s="96"/>
      <c r="AV1123" s="96"/>
      <c r="AW1123" s="96"/>
      <c r="AX1123" s="96"/>
      <c r="AY1123" s="96"/>
      <c r="AZ1123" s="96"/>
      <c r="BA1123" s="96"/>
      <c r="BB1123" s="96"/>
      <c r="BC1123" s="96"/>
      <c r="BD1123" s="96"/>
      <c r="BE1123" s="96"/>
    </row>
    <row r="1124" s="97" customFormat="1" customHeight="1" spans="1:57">
      <c r="A1124" s="115" t="s">
        <v>8870</v>
      </c>
      <c r="B1124" s="111" t="s">
        <v>8871</v>
      </c>
      <c r="C1124" s="554" t="s">
        <v>8872</v>
      </c>
      <c r="D1124" s="113" t="s">
        <v>8873</v>
      </c>
      <c r="E1124" s="113">
        <v>18236765566</v>
      </c>
      <c r="F1124" s="267">
        <v>4</v>
      </c>
      <c r="G1124" s="268" t="s">
        <v>8874</v>
      </c>
      <c r="H1124" s="274">
        <v>10.37</v>
      </c>
      <c r="I1124" s="274" t="s">
        <v>2657</v>
      </c>
      <c r="J1124" s="113" t="s">
        <v>8875</v>
      </c>
      <c r="K1124" s="116">
        <v>10.18</v>
      </c>
      <c r="L1124" s="266" t="s">
        <v>3988</v>
      </c>
      <c r="M1124" s="266" t="s">
        <v>3806</v>
      </c>
      <c r="N1124" s="113" t="s">
        <v>56</v>
      </c>
      <c r="O1124" s="113"/>
      <c r="P1124" s="113"/>
      <c r="Q1124" s="113">
        <v>25491.03</v>
      </c>
      <c r="R1124" s="113">
        <v>264342</v>
      </c>
      <c r="S1124" s="121">
        <v>264342</v>
      </c>
      <c r="T1124" s="292">
        <f t="shared" si="361"/>
        <v>0</v>
      </c>
      <c r="U1124" s="113"/>
      <c r="V1124" s="113">
        <v>674</v>
      </c>
      <c r="W1124" s="113">
        <v>550</v>
      </c>
      <c r="X1124" s="113"/>
      <c r="Y1124" s="113" t="s">
        <v>2669</v>
      </c>
      <c r="Z1124" s="113" t="s">
        <v>48</v>
      </c>
      <c r="AA1124" s="275">
        <v>44189</v>
      </c>
      <c r="AB1124" s="113"/>
      <c r="AC1124" s="113"/>
      <c r="AD1124" s="122"/>
      <c r="AE1124" s="133"/>
      <c r="AF1124" s="115"/>
      <c r="AG1124" s="133"/>
      <c r="AH1124" s="133"/>
      <c r="AI1124" s="132">
        <f t="shared" si="358"/>
        <v>265566</v>
      </c>
      <c r="AJ1124" s="341"/>
      <c r="AK1124" s="133">
        <f t="shared" si="360"/>
        <v>265566</v>
      </c>
      <c r="AL1124" s="371" t="s">
        <v>8618</v>
      </c>
      <c r="AM1124" s="133" t="s">
        <v>886</v>
      </c>
      <c r="AN1124" s="246">
        <v>44867</v>
      </c>
      <c r="AO1124" s="100"/>
      <c r="AP1124" s="96"/>
      <c r="AQ1124" s="96"/>
      <c r="AR1124" s="96"/>
      <c r="AS1124" s="96"/>
      <c r="AT1124" s="96"/>
      <c r="AU1124" s="96"/>
      <c r="AV1124" s="96"/>
      <c r="AW1124" s="96"/>
      <c r="AX1124" s="96"/>
      <c r="AY1124" s="96"/>
      <c r="AZ1124" s="96"/>
      <c r="BA1124" s="96"/>
      <c r="BB1124" s="96"/>
      <c r="BC1124" s="96"/>
      <c r="BD1124" s="96"/>
      <c r="BE1124" s="96"/>
    </row>
    <row r="1125" s="97" customFormat="1" customHeight="1" spans="1:57">
      <c r="A1125" s="115" t="s">
        <v>8876</v>
      </c>
      <c r="B1125" s="111" t="s">
        <v>8877</v>
      </c>
      <c r="C1125" s="111" t="s">
        <v>8878</v>
      </c>
      <c r="D1125" s="113" t="s">
        <v>8879</v>
      </c>
      <c r="E1125" s="113">
        <v>18838256736</v>
      </c>
      <c r="F1125" s="267">
        <v>3</v>
      </c>
      <c r="G1125" s="268">
        <v>371</v>
      </c>
      <c r="H1125" s="274">
        <v>20.09</v>
      </c>
      <c r="I1125" s="274" t="s">
        <v>2657</v>
      </c>
      <c r="J1125" s="113" t="s">
        <v>8880</v>
      </c>
      <c r="K1125" s="116">
        <v>19.36</v>
      </c>
      <c r="L1125" s="266" t="s">
        <v>3001</v>
      </c>
      <c r="M1125" s="266" t="s">
        <v>2854</v>
      </c>
      <c r="N1125" s="113" t="s">
        <v>66</v>
      </c>
      <c r="O1125" s="113"/>
      <c r="P1125" s="113"/>
      <c r="Q1125" s="113">
        <v>32384.76</v>
      </c>
      <c r="R1125" s="113">
        <v>626969</v>
      </c>
      <c r="S1125" s="121">
        <v>316969</v>
      </c>
      <c r="T1125" s="292">
        <f t="shared" ref="T1125:T1150" si="362">R1125-S1125</f>
        <v>310000</v>
      </c>
      <c r="U1125" s="113"/>
      <c r="V1125" s="113"/>
      <c r="W1125" s="113"/>
      <c r="X1125" s="113"/>
      <c r="Y1125" s="113"/>
      <c r="Z1125" s="113"/>
      <c r="AA1125" s="275"/>
      <c r="AB1125" s="113"/>
      <c r="AC1125" s="113"/>
      <c r="AD1125" s="122"/>
      <c r="AE1125" s="133"/>
      <c r="AF1125" s="115"/>
      <c r="AG1125" s="133"/>
      <c r="AH1125" s="133"/>
      <c r="AI1125" s="132">
        <f t="shared" ref="AI1125:AI1133" si="363">S1125+U1125+V1125+W1125+X1125+AC1125+AD1125+AE1125</f>
        <v>316969</v>
      </c>
      <c r="AJ1125" s="132">
        <f t="shared" ref="AJ1125:AJ1133" si="364">S1125+U1125+V1125+W1125+X1125</f>
        <v>316969</v>
      </c>
      <c r="AK1125" s="133">
        <f t="shared" ref="AK1125:AK1133" si="365">AI1125-AJ1125</f>
        <v>0</v>
      </c>
      <c r="AL1125" s="198"/>
      <c r="AM1125" s="133" t="s">
        <v>886</v>
      </c>
      <c r="AN1125" s="246">
        <v>44867</v>
      </c>
      <c r="AO1125" s="100"/>
      <c r="AP1125" s="96"/>
      <c r="AQ1125" s="96"/>
      <c r="AR1125" s="96"/>
      <c r="AS1125" s="96"/>
      <c r="AT1125" s="96"/>
      <c r="AU1125" s="96"/>
      <c r="AV1125" s="96"/>
      <c r="AW1125" s="96"/>
      <c r="AX1125" s="96"/>
      <c r="AY1125" s="96"/>
      <c r="AZ1125" s="96"/>
      <c r="BA1125" s="96"/>
      <c r="BB1125" s="96"/>
      <c r="BC1125" s="96"/>
      <c r="BD1125" s="96"/>
      <c r="BE1125" s="96"/>
    </row>
    <row r="1126" s="97" customFormat="1" customHeight="1" spans="1:57">
      <c r="A1126" s="115" t="s">
        <v>8881</v>
      </c>
      <c r="B1126" s="111" t="s">
        <v>8882</v>
      </c>
      <c r="C1126" s="554" t="s">
        <v>8883</v>
      </c>
      <c r="D1126" s="113" t="s">
        <v>8884</v>
      </c>
      <c r="E1126" s="113">
        <v>18736966200</v>
      </c>
      <c r="F1126" s="267">
        <v>4</v>
      </c>
      <c r="G1126" s="268">
        <v>4183</v>
      </c>
      <c r="H1126" s="274">
        <v>44.66</v>
      </c>
      <c r="I1126" s="274" t="s">
        <v>2657</v>
      </c>
      <c r="J1126" s="113" t="s">
        <v>8885</v>
      </c>
      <c r="K1126" s="116">
        <v>38.01</v>
      </c>
      <c r="L1126" s="266" t="s">
        <v>2982</v>
      </c>
      <c r="M1126" s="266" t="s">
        <v>2982</v>
      </c>
      <c r="N1126" s="113" t="s">
        <v>56</v>
      </c>
      <c r="O1126" s="113"/>
      <c r="P1126" s="113"/>
      <c r="Q1126" s="113">
        <v>25846.3</v>
      </c>
      <c r="R1126" s="113">
        <v>982418</v>
      </c>
      <c r="S1126" s="121">
        <v>982418</v>
      </c>
      <c r="T1126" s="292">
        <f t="shared" si="362"/>
        <v>0</v>
      </c>
      <c r="U1126" s="113"/>
      <c r="V1126" s="113"/>
      <c r="W1126" s="113"/>
      <c r="X1126" s="113"/>
      <c r="Y1126" s="113"/>
      <c r="Z1126" s="113"/>
      <c r="AA1126" s="275"/>
      <c r="AB1126" s="113"/>
      <c r="AC1126" s="113"/>
      <c r="AD1126" s="122"/>
      <c r="AE1126" s="133"/>
      <c r="AF1126" s="115"/>
      <c r="AG1126" s="133"/>
      <c r="AH1126" s="133"/>
      <c r="AI1126" s="132">
        <f t="shared" si="363"/>
        <v>982418</v>
      </c>
      <c r="AJ1126" s="132">
        <f t="shared" si="364"/>
        <v>982418</v>
      </c>
      <c r="AK1126" s="133">
        <f t="shared" si="365"/>
        <v>0</v>
      </c>
      <c r="AL1126" s="198"/>
      <c r="AM1126" s="133" t="s">
        <v>886</v>
      </c>
      <c r="AN1126" s="246">
        <v>44867</v>
      </c>
      <c r="AO1126" s="100"/>
      <c r="AP1126" s="96"/>
      <c r="AQ1126" s="96"/>
      <c r="AR1126" s="96"/>
      <c r="AS1126" s="96"/>
      <c r="AT1126" s="96"/>
      <c r="AU1126" s="96"/>
      <c r="AV1126" s="96"/>
      <c r="AW1126" s="96"/>
      <c r="AX1126" s="96"/>
      <c r="AY1126" s="96"/>
      <c r="AZ1126" s="96"/>
      <c r="BA1126" s="96"/>
      <c r="BB1126" s="96"/>
      <c r="BC1126" s="96"/>
      <c r="BD1126" s="96"/>
      <c r="BE1126" s="96"/>
    </row>
    <row r="1127" s="97" customFormat="1" customHeight="1" spans="1:57">
      <c r="A1127" s="115" t="s">
        <v>8886</v>
      </c>
      <c r="B1127" s="111" t="s">
        <v>8887</v>
      </c>
      <c r="C1127" s="111" t="s">
        <v>8888</v>
      </c>
      <c r="D1127" s="113" t="s">
        <v>8889</v>
      </c>
      <c r="E1127" s="113">
        <v>15617882626</v>
      </c>
      <c r="F1127" s="267">
        <v>3</v>
      </c>
      <c r="G1127" s="268">
        <v>3776</v>
      </c>
      <c r="H1127" s="274">
        <v>15.99</v>
      </c>
      <c r="I1127" s="274" t="s">
        <v>2657</v>
      </c>
      <c r="J1127" s="113" t="s">
        <v>8890</v>
      </c>
      <c r="K1127" s="116">
        <v>14.89</v>
      </c>
      <c r="L1127" s="266" t="s">
        <v>3686</v>
      </c>
      <c r="M1127" s="266" t="s">
        <v>8177</v>
      </c>
      <c r="N1127" s="113" t="s">
        <v>56</v>
      </c>
      <c r="O1127" s="113"/>
      <c r="P1127" s="113"/>
      <c r="Q1127" s="113">
        <v>31982.2</v>
      </c>
      <c r="R1127" s="113">
        <v>511395</v>
      </c>
      <c r="S1127" s="121">
        <v>511395</v>
      </c>
      <c r="T1127" s="292">
        <f t="shared" si="362"/>
        <v>0</v>
      </c>
      <c r="U1127" s="113"/>
      <c r="V1127" s="113">
        <v>1039</v>
      </c>
      <c r="W1127" s="113">
        <v>550</v>
      </c>
      <c r="X1127" s="113"/>
      <c r="Y1127" s="113" t="s">
        <v>2669</v>
      </c>
      <c r="Z1127" s="113"/>
      <c r="AA1127" s="275"/>
      <c r="AB1127" s="113"/>
      <c r="AC1127" s="113"/>
      <c r="AD1127" s="122"/>
      <c r="AE1127" s="133"/>
      <c r="AF1127" s="115"/>
      <c r="AG1127" s="133"/>
      <c r="AH1127" s="133"/>
      <c r="AI1127" s="132">
        <f t="shared" si="363"/>
        <v>512984</v>
      </c>
      <c r="AJ1127" s="341"/>
      <c r="AK1127" s="133">
        <f t="shared" si="365"/>
        <v>512984</v>
      </c>
      <c r="AL1127" s="371" t="s">
        <v>8891</v>
      </c>
      <c r="AM1127" s="133" t="s">
        <v>886</v>
      </c>
      <c r="AN1127" s="246">
        <v>44867</v>
      </c>
      <c r="AO1127" s="100"/>
      <c r="AP1127" s="96"/>
      <c r="AQ1127" s="96"/>
      <c r="AR1127" s="96"/>
      <c r="AS1127" s="96"/>
      <c r="AT1127" s="96"/>
      <c r="AU1127" s="96"/>
      <c r="AV1127" s="96"/>
      <c r="AW1127" s="96"/>
      <c r="AX1127" s="96"/>
      <c r="AY1127" s="96"/>
      <c r="AZ1127" s="96"/>
      <c r="BA1127" s="96"/>
      <c r="BB1127" s="96"/>
      <c r="BC1127" s="96"/>
      <c r="BD1127" s="96"/>
      <c r="BE1127" s="96"/>
    </row>
    <row r="1128" s="97" customFormat="1" customHeight="1" spans="1:57">
      <c r="A1128" s="115" t="s">
        <v>8892</v>
      </c>
      <c r="B1128" s="111" t="s">
        <v>8887</v>
      </c>
      <c r="C1128" s="554" t="s">
        <v>8888</v>
      </c>
      <c r="D1128" s="113" t="s">
        <v>8893</v>
      </c>
      <c r="E1128" s="113">
        <v>15617882626</v>
      </c>
      <c r="F1128" s="267">
        <v>4</v>
      </c>
      <c r="G1128" s="268">
        <v>4165</v>
      </c>
      <c r="H1128" s="274">
        <v>22.44</v>
      </c>
      <c r="I1128" s="274" t="s">
        <v>2657</v>
      </c>
      <c r="J1128" s="113" t="s">
        <v>8894</v>
      </c>
      <c r="K1128" s="116">
        <v>22.79</v>
      </c>
      <c r="L1128" s="266" t="s">
        <v>4238</v>
      </c>
      <c r="M1128" s="266" t="s">
        <v>8177</v>
      </c>
      <c r="N1128" s="113" t="s">
        <v>66</v>
      </c>
      <c r="O1128" s="113"/>
      <c r="P1128" s="113"/>
      <c r="Q1128" s="113">
        <v>25932.65</v>
      </c>
      <c r="R1128" s="113">
        <v>581929</v>
      </c>
      <c r="S1128" s="121">
        <v>301929</v>
      </c>
      <c r="T1128" s="292">
        <f t="shared" si="362"/>
        <v>280000</v>
      </c>
      <c r="U1128" s="113"/>
      <c r="V1128" s="113">
        <v>1458</v>
      </c>
      <c r="W1128" s="113">
        <v>550</v>
      </c>
      <c r="X1128" s="113"/>
      <c r="Y1128" s="113"/>
      <c r="Z1128" s="113"/>
      <c r="AA1128" s="275"/>
      <c r="AB1128" s="113"/>
      <c r="AC1128" s="113"/>
      <c r="AD1128" s="122"/>
      <c r="AE1128" s="133"/>
      <c r="AF1128" s="115"/>
      <c r="AG1128" s="133"/>
      <c r="AH1128" s="133"/>
      <c r="AI1128" s="132">
        <f t="shared" si="363"/>
        <v>303937</v>
      </c>
      <c r="AJ1128" s="341"/>
      <c r="AK1128" s="133">
        <f t="shared" si="365"/>
        <v>303937</v>
      </c>
      <c r="AL1128" s="371" t="s">
        <v>8891</v>
      </c>
      <c r="AM1128" s="133" t="s">
        <v>886</v>
      </c>
      <c r="AN1128" s="246">
        <v>44867</v>
      </c>
      <c r="AO1128" s="100"/>
      <c r="AP1128" s="96"/>
      <c r="AQ1128" s="96"/>
      <c r="AR1128" s="96"/>
      <c r="AS1128" s="96"/>
      <c r="AT1128" s="96"/>
      <c r="AU1128" s="96"/>
      <c r="AV1128" s="96"/>
      <c r="AW1128" s="96"/>
      <c r="AX1128" s="96"/>
      <c r="AY1128" s="96"/>
      <c r="AZ1128" s="96"/>
      <c r="BA1128" s="96"/>
      <c r="BB1128" s="96"/>
      <c r="BC1128" s="96"/>
      <c r="BD1128" s="96"/>
      <c r="BE1128" s="96"/>
    </row>
    <row r="1129" s="97" customFormat="1" customHeight="1" spans="1:57">
      <c r="A1129" s="115" t="s">
        <v>8895</v>
      </c>
      <c r="B1129" s="111" t="s">
        <v>8887</v>
      </c>
      <c r="C1129" s="554" t="s">
        <v>8888</v>
      </c>
      <c r="D1129" s="113" t="s">
        <v>8889</v>
      </c>
      <c r="E1129" s="113">
        <v>15617882626</v>
      </c>
      <c r="F1129" s="267">
        <v>1</v>
      </c>
      <c r="G1129" s="268">
        <v>1660</v>
      </c>
      <c r="H1129" s="274">
        <v>15.19</v>
      </c>
      <c r="I1129" s="274" t="s">
        <v>2657</v>
      </c>
      <c r="J1129" s="113" t="s">
        <v>8896</v>
      </c>
      <c r="K1129" s="116">
        <v>14.69</v>
      </c>
      <c r="L1129" s="266" t="s">
        <v>3686</v>
      </c>
      <c r="M1129" s="266" t="s">
        <v>8177</v>
      </c>
      <c r="N1129" s="113" t="s">
        <v>56</v>
      </c>
      <c r="O1129" s="113"/>
      <c r="P1129" s="113"/>
      <c r="Q1129" s="113">
        <v>48076.72</v>
      </c>
      <c r="R1129" s="113">
        <v>730285</v>
      </c>
      <c r="S1129" s="121">
        <v>730285</v>
      </c>
      <c r="T1129" s="292">
        <f t="shared" si="362"/>
        <v>0</v>
      </c>
      <c r="U1129" s="113"/>
      <c r="V1129" s="113">
        <v>987</v>
      </c>
      <c r="W1129" s="113">
        <v>550</v>
      </c>
      <c r="X1129" s="113"/>
      <c r="Y1129" s="113" t="s">
        <v>2669</v>
      </c>
      <c r="Z1129" s="113"/>
      <c r="AA1129" s="275"/>
      <c r="AB1129" s="113"/>
      <c r="AC1129" s="113"/>
      <c r="AD1129" s="122"/>
      <c r="AE1129" s="133"/>
      <c r="AF1129" s="115"/>
      <c r="AG1129" s="133"/>
      <c r="AH1129" s="133"/>
      <c r="AI1129" s="132">
        <f t="shared" si="363"/>
        <v>731822</v>
      </c>
      <c r="AJ1129" s="341"/>
      <c r="AK1129" s="133">
        <f t="shared" si="365"/>
        <v>731822</v>
      </c>
      <c r="AL1129" s="371" t="s">
        <v>8891</v>
      </c>
      <c r="AM1129" s="133" t="s">
        <v>886</v>
      </c>
      <c r="AN1129" s="246">
        <v>44867</v>
      </c>
      <c r="AO1129" s="100"/>
      <c r="AP1129" s="96"/>
      <c r="AQ1129" s="96"/>
      <c r="AR1129" s="96"/>
      <c r="AS1129" s="96"/>
      <c r="AT1129" s="96"/>
      <c r="AU1129" s="96"/>
      <c r="AV1129" s="96"/>
      <c r="AW1129" s="96"/>
      <c r="AX1129" s="96"/>
      <c r="AY1129" s="96"/>
      <c r="AZ1129" s="96"/>
      <c r="BA1129" s="96"/>
      <c r="BB1129" s="96"/>
      <c r="BC1129" s="96"/>
      <c r="BD1129" s="96"/>
      <c r="BE1129" s="96"/>
    </row>
    <row r="1130" s="97" customFormat="1" customHeight="1" spans="1:57">
      <c r="A1130" s="115" t="s">
        <v>8897</v>
      </c>
      <c r="B1130" s="111" t="s">
        <v>8898</v>
      </c>
      <c r="C1130" s="111" t="s">
        <v>8899</v>
      </c>
      <c r="D1130" s="113" t="s">
        <v>8900</v>
      </c>
      <c r="E1130" s="113">
        <v>13337294514</v>
      </c>
      <c r="F1130" s="267">
        <v>3</v>
      </c>
      <c r="G1130" s="268">
        <v>3213</v>
      </c>
      <c r="H1130" s="274">
        <v>18.03</v>
      </c>
      <c r="I1130" s="274" t="s">
        <v>2665</v>
      </c>
      <c r="J1130" s="113" t="s">
        <v>8901</v>
      </c>
      <c r="K1130" s="116">
        <v>14.13</v>
      </c>
      <c r="L1130" s="266" t="s">
        <v>2712</v>
      </c>
      <c r="M1130" s="266" t="s">
        <v>8902</v>
      </c>
      <c r="N1130" s="113" t="s">
        <v>56</v>
      </c>
      <c r="O1130" s="113"/>
      <c r="P1130" s="113"/>
      <c r="Q1130" s="113">
        <v>29129.09</v>
      </c>
      <c r="R1130" s="113">
        <v>411594</v>
      </c>
      <c r="S1130" s="121">
        <v>411594</v>
      </c>
      <c r="T1130" s="292">
        <f t="shared" si="362"/>
        <v>0</v>
      </c>
      <c r="U1130" s="113"/>
      <c r="V1130" s="113"/>
      <c r="W1130" s="113"/>
      <c r="X1130" s="113"/>
      <c r="Y1130" s="113"/>
      <c r="Z1130" s="113"/>
      <c r="AA1130" s="275"/>
      <c r="AB1130" s="113"/>
      <c r="AC1130" s="113"/>
      <c r="AD1130" s="122"/>
      <c r="AE1130" s="133"/>
      <c r="AF1130" s="115"/>
      <c r="AG1130" s="133"/>
      <c r="AH1130" s="133"/>
      <c r="AI1130" s="132">
        <f t="shared" si="363"/>
        <v>411594</v>
      </c>
      <c r="AJ1130" s="132">
        <f t="shared" si="364"/>
        <v>411594</v>
      </c>
      <c r="AK1130" s="133">
        <f t="shared" si="365"/>
        <v>0</v>
      </c>
      <c r="AL1130" s="198"/>
      <c r="AM1130" s="133" t="s">
        <v>886</v>
      </c>
      <c r="AN1130" s="246">
        <v>44867</v>
      </c>
      <c r="AO1130" s="100"/>
      <c r="AP1130" s="96"/>
      <c r="AQ1130" s="96"/>
      <c r="AR1130" s="96"/>
      <c r="AS1130" s="96"/>
      <c r="AT1130" s="96"/>
      <c r="AU1130" s="96"/>
      <c r="AV1130" s="96"/>
      <c r="AW1130" s="96"/>
      <c r="AX1130" s="96"/>
      <c r="AY1130" s="96"/>
      <c r="AZ1130" s="96"/>
      <c r="BA1130" s="96"/>
      <c r="BB1130" s="96"/>
      <c r="BC1130" s="96"/>
      <c r="BD1130" s="96"/>
      <c r="BE1130" s="96"/>
    </row>
    <row r="1131" s="97" customFormat="1" customHeight="1" spans="1:57">
      <c r="A1131" s="115" t="s">
        <v>8903</v>
      </c>
      <c r="B1131" s="111" t="s">
        <v>8904</v>
      </c>
      <c r="C1131" s="554" t="s">
        <v>8905</v>
      </c>
      <c r="D1131" s="113" t="s">
        <v>8906</v>
      </c>
      <c r="E1131" s="113">
        <v>13803945099</v>
      </c>
      <c r="F1131" s="267">
        <v>1</v>
      </c>
      <c r="G1131" s="268">
        <v>1802</v>
      </c>
      <c r="H1131" s="274">
        <v>31.31</v>
      </c>
      <c r="I1131" s="274" t="s">
        <v>2657</v>
      </c>
      <c r="J1131" s="113" t="s">
        <v>8907</v>
      </c>
      <c r="K1131" s="116">
        <v>26.91</v>
      </c>
      <c r="L1131" s="266" t="s">
        <v>8908</v>
      </c>
      <c r="M1131" s="266" t="s">
        <v>6503</v>
      </c>
      <c r="N1131" s="113" t="s">
        <v>66</v>
      </c>
      <c r="O1131" s="113"/>
      <c r="P1131" s="113"/>
      <c r="Q1131" s="113">
        <v>46451.13</v>
      </c>
      <c r="R1131" s="113">
        <v>1250000</v>
      </c>
      <c r="S1131" s="121">
        <v>630000</v>
      </c>
      <c r="T1131" s="292">
        <f t="shared" si="362"/>
        <v>620000</v>
      </c>
      <c r="U1131" s="113"/>
      <c r="V1131" s="113"/>
      <c r="W1131" s="113"/>
      <c r="X1131" s="113"/>
      <c r="Y1131" s="113"/>
      <c r="Z1131" s="113"/>
      <c r="AA1131" s="275"/>
      <c r="AB1131" s="113"/>
      <c r="AC1131" s="113"/>
      <c r="AD1131" s="122"/>
      <c r="AE1131" s="133"/>
      <c r="AF1131" s="115"/>
      <c r="AG1131" s="133"/>
      <c r="AH1131" s="133"/>
      <c r="AI1131" s="132">
        <f t="shared" si="363"/>
        <v>630000</v>
      </c>
      <c r="AJ1131" s="132">
        <f t="shared" si="364"/>
        <v>630000</v>
      </c>
      <c r="AK1131" s="133">
        <f t="shared" si="365"/>
        <v>0</v>
      </c>
      <c r="AL1131" s="198"/>
      <c r="AM1131" s="133" t="s">
        <v>886</v>
      </c>
      <c r="AN1131" s="246">
        <v>44867</v>
      </c>
      <c r="AO1131" s="100"/>
      <c r="AP1131" s="96"/>
      <c r="AQ1131" s="96"/>
      <c r="AR1131" s="96"/>
      <c r="AS1131" s="96"/>
      <c r="AT1131" s="96"/>
      <c r="AU1131" s="96"/>
      <c r="AV1131" s="96"/>
      <c r="AW1131" s="96"/>
      <c r="AX1131" s="96"/>
      <c r="AY1131" s="96"/>
      <c r="AZ1131" s="96"/>
      <c r="BA1131" s="96"/>
      <c r="BB1131" s="96"/>
      <c r="BC1131" s="96"/>
      <c r="BD1131" s="96"/>
      <c r="BE1131" s="96"/>
    </row>
    <row r="1132" s="97" customFormat="1" customHeight="1" spans="1:57">
      <c r="A1132" s="115" t="s">
        <v>8909</v>
      </c>
      <c r="B1132" s="111" t="s">
        <v>8910</v>
      </c>
      <c r="C1132" s="554" t="s">
        <v>8911</v>
      </c>
      <c r="D1132" s="113" t="s">
        <v>8912</v>
      </c>
      <c r="E1132" s="113">
        <v>15515770918</v>
      </c>
      <c r="F1132" s="267">
        <v>4</v>
      </c>
      <c r="G1132" s="268">
        <v>4528</v>
      </c>
      <c r="H1132" s="274">
        <v>16.03</v>
      </c>
      <c r="I1132" s="274" t="s">
        <v>2657</v>
      </c>
      <c r="J1132" s="113" t="s">
        <v>8913</v>
      </c>
      <c r="K1132" s="116">
        <v>11.31</v>
      </c>
      <c r="L1132" s="266" t="s">
        <v>3408</v>
      </c>
      <c r="M1132" s="266" t="s">
        <v>3740</v>
      </c>
      <c r="N1132" s="113" t="s">
        <v>66</v>
      </c>
      <c r="O1132" s="113"/>
      <c r="P1132" s="113"/>
      <c r="Q1132" s="113">
        <v>25666.4</v>
      </c>
      <c r="R1132" s="113">
        <v>290287</v>
      </c>
      <c r="S1132" s="121">
        <v>150287</v>
      </c>
      <c r="T1132" s="292">
        <f t="shared" si="362"/>
        <v>140000</v>
      </c>
      <c r="U1132" s="113"/>
      <c r="V1132" s="113"/>
      <c r="W1132" s="113"/>
      <c r="X1132" s="113"/>
      <c r="Y1132" s="113"/>
      <c r="Z1132" s="113"/>
      <c r="AA1132" s="275"/>
      <c r="AB1132" s="113"/>
      <c r="AC1132" s="113"/>
      <c r="AD1132" s="122"/>
      <c r="AE1132" s="133"/>
      <c r="AF1132" s="115"/>
      <c r="AG1132" s="133"/>
      <c r="AH1132" s="133"/>
      <c r="AI1132" s="132">
        <f t="shared" si="363"/>
        <v>150287</v>
      </c>
      <c r="AJ1132" s="132">
        <f t="shared" si="364"/>
        <v>150287</v>
      </c>
      <c r="AK1132" s="133">
        <f t="shared" si="365"/>
        <v>0</v>
      </c>
      <c r="AL1132" s="198"/>
      <c r="AM1132" s="133" t="s">
        <v>886</v>
      </c>
      <c r="AN1132" s="246">
        <v>44867</v>
      </c>
      <c r="AO1132" s="100"/>
      <c r="AP1132" s="96"/>
      <c r="AQ1132" s="96"/>
      <c r="AR1132" s="96"/>
      <c r="AS1132" s="96"/>
      <c r="AT1132" s="96"/>
      <c r="AU1132" s="96"/>
      <c r="AV1132" s="96"/>
      <c r="AW1132" s="96"/>
      <c r="AX1132" s="96"/>
      <c r="AY1132" s="96"/>
      <c r="AZ1132" s="96"/>
      <c r="BA1132" s="96"/>
      <c r="BB1132" s="96"/>
      <c r="BC1132" s="96"/>
      <c r="BD1132" s="96"/>
      <c r="BE1132" s="96"/>
    </row>
    <row r="1133" s="97" customFormat="1" customHeight="1" spans="1:57">
      <c r="A1133" s="115" t="s">
        <v>8914</v>
      </c>
      <c r="B1133" s="111" t="s">
        <v>8915</v>
      </c>
      <c r="C1133" s="111" t="s">
        <v>8916</v>
      </c>
      <c r="D1133" s="113" t="s">
        <v>8917</v>
      </c>
      <c r="E1133" s="113">
        <v>15939012765</v>
      </c>
      <c r="F1133" s="267">
        <v>3</v>
      </c>
      <c r="G1133" s="268">
        <v>3830</v>
      </c>
      <c r="H1133" s="274">
        <v>15.3</v>
      </c>
      <c r="I1133" s="274" t="s">
        <v>2657</v>
      </c>
      <c r="J1133" s="113" t="s">
        <v>8918</v>
      </c>
      <c r="K1133" s="116">
        <v>15.38</v>
      </c>
      <c r="L1133" s="266" t="s">
        <v>8571</v>
      </c>
      <c r="M1133" s="266" t="s">
        <v>8919</v>
      </c>
      <c r="N1133" s="113" t="s">
        <v>66</v>
      </c>
      <c r="O1133" s="113"/>
      <c r="P1133" s="113"/>
      <c r="Q1133" s="113">
        <v>32509.75</v>
      </c>
      <c r="R1133" s="113">
        <v>497399</v>
      </c>
      <c r="S1133" s="121">
        <v>257399</v>
      </c>
      <c r="T1133" s="292">
        <f t="shared" si="362"/>
        <v>240000</v>
      </c>
      <c r="U1133" s="113"/>
      <c r="V1133" s="113">
        <v>994</v>
      </c>
      <c r="W1133" s="113">
        <v>550</v>
      </c>
      <c r="X1133" s="113"/>
      <c r="Y1133" s="113"/>
      <c r="Z1133" s="113"/>
      <c r="AA1133" s="275"/>
      <c r="AB1133" s="113"/>
      <c r="AC1133" s="113"/>
      <c r="AD1133" s="122"/>
      <c r="AE1133" s="133"/>
      <c r="AF1133" s="115"/>
      <c r="AG1133" s="133"/>
      <c r="AH1133" s="133"/>
      <c r="AI1133" s="132">
        <f t="shared" si="363"/>
        <v>258943</v>
      </c>
      <c r="AJ1133" s="132">
        <f t="shared" si="364"/>
        <v>258943</v>
      </c>
      <c r="AK1133" s="133">
        <f t="shared" si="365"/>
        <v>0</v>
      </c>
      <c r="AL1133" s="198"/>
      <c r="AM1133" s="133" t="s">
        <v>886</v>
      </c>
      <c r="AN1133" s="246">
        <v>44868</v>
      </c>
      <c r="AO1133" s="100"/>
      <c r="AP1133" s="96"/>
      <c r="AQ1133" s="96"/>
      <c r="AR1133" s="96"/>
      <c r="AS1133" s="96"/>
      <c r="AT1133" s="96"/>
      <c r="AU1133" s="96"/>
      <c r="AV1133" s="96"/>
      <c r="AW1133" s="96"/>
      <c r="AX1133" s="96"/>
      <c r="AY1133" s="96"/>
      <c r="AZ1133" s="96"/>
      <c r="BA1133" s="96"/>
      <c r="BB1133" s="96"/>
      <c r="BC1133" s="96"/>
      <c r="BD1133" s="96"/>
      <c r="BE1133" s="96"/>
    </row>
    <row r="1134" s="97" customFormat="1" customHeight="1" spans="1:57">
      <c r="A1134" s="115" t="s">
        <v>8920</v>
      </c>
      <c r="B1134" s="111" t="s">
        <v>8921</v>
      </c>
      <c r="C1134" s="554" t="s">
        <v>8922</v>
      </c>
      <c r="D1134" s="113" t="s">
        <v>8923</v>
      </c>
      <c r="E1134" s="113">
        <v>15803999733</v>
      </c>
      <c r="F1134" s="267">
        <v>4</v>
      </c>
      <c r="G1134" s="268">
        <v>454</v>
      </c>
      <c r="H1134" s="274">
        <v>11.74</v>
      </c>
      <c r="I1134" s="274" t="s">
        <v>2657</v>
      </c>
      <c r="J1134" s="113" t="s">
        <v>8924</v>
      </c>
      <c r="K1134" s="116">
        <v>16.34</v>
      </c>
      <c r="L1134" s="266" t="s">
        <v>3408</v>
      </c>
      <c r="M1134" s="266" t="s">
        <v>7160</v>
      </c>
      <c r="N1134" s="113" t="s">
        <v>66</v>
      </c>
      <c r="O1134" s="113"/>
      <c r="P1134" s="113"/>
      <c r="Q1134" s="113">
        <v>26034.88</v>
      </c>
      <c r="R1134" s="113">
        <v>305649</v>
      </c>
      <c r="S1134" s="121">
        <v>215649</v>
      </c>
      <c r="T1134" s="292">
        <f t="shared" si="362"/>
        <v>90000</v>
      </c>
      <c r="U1134" s="113"/>
      <c r="V1134" s="113">
        <v>763</v>
      </c>
      <c r="W1134" s="113">
        <v>550</v>
      </c>
      <c r="X1134" s="113"/>
      <c r="Y1134" s="113"/>
      <c r="Z1134" s="113"/>
      <c r="AA1134" s="275"/>
      <c r="AB1134" s="113"/>
      <c r="AC1134" s="113">
        <f>1779-W1134</f>
        <v>1229</v>
      </c>
      <c r="AD1134" s="122"/>
      <c r="AE1134" s="133"/>
      <c r="AF1134" s="115"/>
      <c r="AG1134" s="133"/>
      <c r="AH1134" s="133"/>
      <c r="AI1134" s="132">
        <f t="shared" ref="AI1134:AI1145" si="366">S1134+U1134+V1134+W1134+X1134+AC1134+AD1134+AE1134</f>
        <v>218191</v>
      </c>
      <c r="AJ1134" s="132">
        <f t="shared" ref="AJ1134:AJ1145" si="367">S1134+U1134+V1134+W1134+X1134</f>
        <v>216962</v>
      </c>
      <c r="AK1134" s="133">
        <f t="shared" ref="AK1134:AK1145" si="368">AI1134-AJ1134</f>
        <v>1229</v>
      </c>
      <c r="AL1134" s="198"/>
      <c r="AM1134" s="133" t="s">
        <v>886</v>
      </c>
      <c r="AN1134" s="246">
        <v>44868</v>
      </c>
      <c r="AO1134" s="100"/>
      <c r="AP1134" s="96"/>
      <c r="AQ1134" s="96"/>
      <c r="AR1134" s="96"/>
      <c r="AS1134" s="96"/>
      <c r="AT1134" s="96"/>
      <c r="AU1134" s="96"/>
      <c r="AV1134" s="96"/>
      <c r="AW1134" s="96"/>
      <c r="AX1134" s="96"/>
      <c r="AY1134" s="96"/>
      <c r="AZ1134" s="96"/>
      <c r="BA1134" s="96"/>
      <c r="BB1134" s="96"/>
      <c r="BC1134" s="96"/>
      <c r="BD1134" s="96"/>
      <c r="BE1134" s="96"/>
    </row>
    <row r="1135" s="97" customFormat="1" customHeight="1" spans="1:57">
      <c r="A1135" s="115" t="s">
        <v>8925</v>
      </c>
      <c r="B1135" s="111" t="s">
        <v>8926</v>
      </c>
      <c r="C1135" s="111" t="s">
        <v>8927</v>
      </c>
      <c r="D1135" s="113" t="s">
        <v>8928</v>
      </c>
      <c r="E1135" s="113" t="s">
        <v>8929</v>
      </c>
      <c r="F1135" s="267">
        <v>3</v>
      </c>
      <c r="G1135" s="268">
        <v>3217</v>
      </c>
      <c r="H1135" s="274">
        <v>14.5</v>
      </c>
      <c r="I1135" s="274" t="s">
        <v>2657</v>
      </c>
      <c r="J1135" s="113" t="s">
        <v>8930</v>
      </c>
      <c r="K1135" s="116">
        <v>13.3</v>
      </c>
      <c r="L1135" s="266" t="s">
        <v>3117</v>
      </c>
      <c r="M1135" s="266" t="s">
        <v>8148</v>
      </c>
      <c r="N1135" s="113" t="s">
        <v>66</v>
      </c>
      <c r="O1135" s="113"/>
      <c r="P1135" s="113"/>
      <c r="Q1135" s="113">
        <v>32841.95</v>
      </c>
      <c r="R1135" s="113">
        <v>436798</v>
      </c>
      <c r="S1135" s="121">
        <v>226798</v>
      </c>
      <c r="T1135" s="292">
        <f t="shared" si="362"/>
        <v>210000</v>
      </c>
      <c r="U1135" s="113"/>
      <c r="V1135" s="113"/>
      <c r="W1135" s="113"/>
      <c r="X1135" s="113"/>
      <c r="Y1135" s="113"/>
      <c r="Z1135" s="113"/>
      <c r="AA1135" s="275"/>
      <c r="AB1135" s="113"/>
      <c r="AC1135" s="113"/>
      <c r="AD1135" s="122"/>
      <c r="AE1135" s="133"/>
      <c r="AF1135" s="115"/>
      <c r="AG1135" s="133"/>
      <c r="AH1135" s="133"/>
      <c r="AI1135" s="132">
        <f t="shared" si="366"/>
        <v>226798</v>
      </c>
      <c r="AJ1135" s="132">
        <f t="shared" si="367"/>
        <v>226798</v>
      </c>
      <c r="AK1135" s="133">
        <f t="shared" si="368"/>
        <v>0</v>
      </c>
      <c r="AL1135" s="198"/>
      <c r="AM1135" s="133" t="s">
        <v>886</v>
      </c>
      <c r="AN1135" s="246">
        <v>44868</v>
      </c>
      <c r="AO1135" s="100"/>
      <c r="AP1135" s="96"/>
      <c r="AQ1135" s="96"/>
      <c r="AR1135" s="96"/>
      <c r="AS1135" s="96"/>
      <c r="AT1135" s="96"/>
      <c r="AU1135" s="96"/>
      <c r="AV1135" s="96"/>
      <c r="AW1135" s="96"/>
      <c r="AX1135" s="96"/>
      <c r="AY1135" s="96"/>
      <c r="AZ1135" s="96"/>
      <c r="BA1135" s="96"/>
      <c r="BB1135" s="96"/>
      <c r="BC1135" s="96"/>
      <c r="BD1135" s="96"/>
      <c r="BE1135" s="96"/>
    </row>
    <row r="1136" s="97" customFormat="1" customHeight="1" spans="1:57">
      <c r="A1136" s="115" t="s">
        <v>8931</v>
      </c>
      <c r="B1136" s="111" t="s">
        <v>8932</v>
      </c>
      <c r="C1136" s="111" t="s">
        <v>8933</v>
      </c>
      <c r="D1136" s="113" t="s">
        <v>8934</v>
      </c>
      <c r="E1136" s="113">
        <v>13939071098</v>
      </c>
      <c r="F1136" s="267">
        <v>3</v>
      </c>
      <c r="G1136" s="268">
        <v>3580</v>
      </c>
      <c r="H1136" s="274">
        <v>14.48</v>
      </c>
      <c r="I1136" s="274" t="s">
        <v>2657</v>
      </c>
      <c r="J1136" s="113" t="s">
        <v>8935</v>
      </c>
      <c r="K1136" s="116">
        <v>12.28</v>
      </c>
      <c r="L1136" s="266" t="s">
        <v>2890</v>
      </c>
      <c r="M1136" s="266" t="s">
        <v>3073</v>
      </c>
      <c r="N1136" s="113" t="s">
        <v>66</v>
      </c>
      <c r="O1136" s="113"/>
      <c r="P1136" s="113"/>
      <c r="Q1136" s="113">
        <v>31764.25</v>
      </c>
      <c r="R1136" s="113">
        <v>390065</v>
      </c>
      <c r="S1136" s="121">
        <v>200065</v>
      </c>
      <c r="T1136" s="292">
        <f t="shared" si="362"/>
        <v>190000</v>
      </c>
      <c r="U1136" s="113"/>
      <c r="V1136" s="113"/>
      <c r="W1136" s="113"/>
      <c r="X1136" s="113"/>
      <c r="Y1136" s="113"/>
      <c r="Z1136" s="113"/>
      <c r="AA1136" s="275"/>
      <c r="AB1136" s="113"/>
      <c r="AC1136" s="113"/>
      <c r="AD1136" s="122"/>
      <c r="AE1136" s="133"/>
      <c r="AF1136" s="115"/>
      <c r="AG1136" s="133"/>
      <c r="AH1136" s="133"/>
      <c r="AI1136" s="132">
        <f t="shared" si="366"/>
        <v>200065</v>
      </c>
      <c r="AJ1136" s="132">
        <f t="shared" si="367"/>
        <v>200065</v>
      </c>
      <c r="AK1136" s="133">
        <f t="shared" si="368"/>
        <v>0</v>
      </c>
      <c r="AL1136" s="198"/>
      <c r="AM1136" s="133" t="s">
        <v>886</v>
      </c>
      <c r="AN1136" s="246">
        <v>44868</v>
      </c>
      <c r="AO1136" s="100"/>
      <c r="AP1136" s="96"/>
      <c r="AQ1136" s="96"/>
      <c r="AR1136" s="96"/>
      <c r="AS1136" s="96"/>
      <c r="AT1136" s="96"/>
      <c r="AU1136" s="96"/>
      <c r="AV1136" s="96"/>
      <c r="AW1136" s="96"/>
      <c r="AX1136" s="96"/>
      <c r="AY1136" s="96"/>
      <c r="AZ1136" s="96"/>
      <c r="BA1136" s="96"/>
      <c r="BB1136" s="96"/>
      <c r="BC1136" s="96"/>
      <c r="BD1136" s="96"/>
      <c r="BE1136" s="96"/>
    </row>
    <row r="1137" s="97" customFormat="1" customHeight="1" spans="1:57">
      <c r="A1137" s="115" t="s">
        <v>8936</v>
      </c>
      <c r="B1137" s="111" t="s">
        <v>8937</v>
      </c>
      <c r="C1137" s="111" t="s">
        <v>8938</v>
      </c>
      <c r="D1137" s="113" t="s">
        <v>8939</v>
      </c>
      <c r="E1137" s="113">
        <v>13803898953</v>
      </c>
      <c r="F1137" s="267">
        <v>3</v>
      </c>
      <c r="G1137" s="268">
        <v>389</v>
      </c>
      <c r="H1137" s="274">
        <v>22.12</v>
      </c>
      <c r="I1137" s="274" t="s">
        <v>2657</v>
      </c>
      <c r="J1137" s="113" t="s">
        <v>8940</v>
      </c>
      <c r="K1137" s="116">
        <v>24.54</v>
      </c>
      <c r="L1137" s="266" t="s">
        <v>2807</v>
      </c>
      <c r="M1137" s="266" t="s">
        <v>2890</v>
      </c>
      <c r="N1137" s="113" t="s">
        <v>66</v>
      </c>
      <c r="O1137" s="113"/>
      <c r="P1137" s="113"/>
      <c r="Q1137" s="113">
        <v>31622.37</v>
      </c>
      <c r="R1137" s="113">
        <v>776013</v>
      </c>
      <c r="S1137" s="121">
        <v>396013</v>
      </c>
      <c r="T1137" s="292">
        <f t="shared" si="362"/>
        <v>380000</v>
      </c>
      <c r="U1137" s="113"/>
      <c r="V1137" s="113"/>
      <c r="W1137" s="113"/>
      <c r="X1137" s="113"/>
      <c r="Y1137" s="113"/>
      <c r="Z1137" s="113"/>
      <c r="AA1137" s="275"/>
      <c r="AB1137" s="113"/>
      <c r="AC1137" s="113"/>
      <c r="AD1137" s="122"/>
      <c r="AE1137" s="133"/>
      <c r="AF1137" s="115"/>
      <c r="AG1137" s="133"/>
      <c r="AH1137" s="133"/>
      <c r="AI1137" s="132">
        <f t="shared" si="366"/>
        <v>396013</v>
      </c>
      <c r="AJ1137" s="132">
        <f t="shared" si="367"/>
        <v>396013</v>
      </c>
      <c r="AK1137" s="133">
        <f t="shared" si="368"/>
        <v>0</v>
      </c>
      <c r="AL1137" s="198"/>
      <c r="AM1137" s="133" t="s">
        <v>886</v>
      </c>
      <c r="AN1137" s="246">
        <v>44868</v>
      </c>
      <c r="AO1137" s="100"/>
      <c r="AP1137" s="96"/>
      <c r="AQ1137" s="96"/>
      <c r="AR1137" s="96"/>
      <c r="AS1137" s="96"/>
      <c r="AT1137" s="96"/>
      <c r="AU1137" s="96"/>
      <c r="AV1137" s="96"/>
      <c r="AW1137" s="96"/>
      <c r="AX1137" s="96"/>
      <c r="AY1137" s="96"/>
      <c r="AZ1137" s="96"/>
      <c r="BA1137" s="96"/>
      <c r="BB1137" s="96"/>
      <c r="BC1137" s="96"/>
      <c r="BD1137" s="96"/>
      <c r="BE1137" s="96"/>
    </row>
    <row r="1138" s="97" customFormat="1" customHeight="1" spans="1:57">
      <c r="A1138" s="115" t="s">
        <v>8941</v>
      </c>
      <c r="B1138" s="111" t="s">
        <v>8942</v>
      </c>
      <c r="C1138" s="554" t="s">
        <v>8943</v>
      </c>
      <c r="D1138" s="113" t="s">
        <v>8944</v>
      </c>
      <c r="E1138" s="113">
        <v>18237477776</v>
      </c>
      <c r="F1138" s="267">
        <v>1</v>
      </c>
      <c r="G1138" s="268">
        <v>1726</v>
      </c>
      <c r="H1138" s="274">
        <v>18.85</v>
      </c>
      <c r="I1138" s="274" t="s">
        <v>2657</v>
      </c>
      <c r="J1138" s="113" t="s">
        <v>8945</v>
      </c>
      <c r="K1138" s="116">
        <v>19.55</v>
      </c>
      <c r="L1138" s="266" t="s">
        <v>4806</v>
      </c>
      <c r="M1138" s="266" t="s">
        <v>3497</v>
      </c>
      <c r="N1138" s="113" t="s">
        <v>66</v>
      </c>
      <c r="O1138" s="113"/>
      <c r="P1138" s="113"/>
      <c r="Q1138" s="113">
        <v>47000</v>
      </c>
      <c r="R1138" s="113">
        <v>918850</v>
      </c>
      <c r="S1138" s="121">
        <v>468850</v>
      </c>
      <c r="T1138" s="292">
        <f t="shared" si="362"/>
        <v>450000</v>
      </c>
      <c r="U1138" s="113"/>
      <c r="V1138" s="113"/>
      <c r="W1138" s="113"/>
      <c r="X1138" s="113"/>
      <c r="Y1138" s="113"/>
      <c r="Z1138" s="113"/>
      <c r="AA1138" s="275"/>
      <c r="AB1138" s="113"/>
      <c r="AC1138" s="113"/>
      <c r="AD1138" s="122"/>
      <c r="AE1138" s="133"/>
      <c r="AF1138" s="115"/>
      <c r="AG1138" s="133"/>
      <c r="AH1138" s="133"/>
      <c r="AI1138" s="132">
        <f t="shared" si="366"/>
        <v>468850</v>
      </c>
      <c r="AJ1138" s="132">
        <f t="shared" si="367"/>
        <v>468850</v>
      </c>
      <c r="AK1138" s="133">
        <f t="shared" si="368"/>
        <v>0</v>
      </c>
      <c r="AL1138" s="198"/>
      <c r="AM1138" s="133" t="s">
        <v>886</v>
      </c>
      <c r="AN1138" s="246">
        <v>44868</v>
      </c>
      <c r="AO1138" s="100"/>
      <c r="AP1138" s="96"/>
      <c r="AQ1138" s="96"/>
      <c r="AR1138" s="96"/>
      <c r="AS1138" s="96"/>
      <c r="AT1138" s="96"/>
      <c r="AU1138" s="96"/>
      <c r="AV1138" s="96"/>
      <c r="AW1138" s="96"/>
      <c r="AX1138" s="96"/>
      <c r="AY1138" s="96"/>
      <c r="AZ1138" s="96"/>
      <c r="BA1138" s="96"/>
      <c r="BB1138" s="96"/>
      <c r="BC1138" s="96"/>
      <c r="BD1138" s="96"/>
      <c r="BE1138" s="96"/>
    </row>
    <row r="1139" s="97" customFormat="1" customHeight="1" spans="1:57">
      <c r="A1139" s="115" t="s">
        <v>8946</v>
      </c>
      <c r="B1139" s="111" t="s">
        <v>8947</v>
      </c>
      <c r="C1139" s="111" t="s">
        <v>8948</v>
      </c>
      <c r="D1139" s="113" t="s">
        <v>8949</v>
      </c>
      <c r="E1139" s="113">
        <v>15517675167</v>
      </c>
      <c r="F1139" s="267">
        <v>1</v>
      </c>
      <c r="G1139" s="268">
        <v>160</v>
      </c>
      <c r="H1139" s="274">
        <v>34.28</v>
      </c>
      <c r="I1139" s="274" t="s">
        <v>2657</v>
      </c>
      <c r="J1139" s="113" t="s">
        <v>8950</v>
      </c>
      <c r="K1139" s="116">
        <v>26.14</v>
      </c>
      <c r="L1139" s="266" t="s">
        <v>3858</v>
      </c>
      <c r="M1139" s="266" t="s">
        <v>5754</v>
      </c>
      <c r="N1139" s="113" t="s">
        <v>56</v>
      </c>
      <c r="O1139" s="113"/>
      <c r="P1139" s="113"/>
      <c r="Q1139" s="113">
        <v>45141.55</v>
      </c>
      <c r="R1139" s="113">
        <v>1180000</v>
      </c>
      <c r="S1139" s="121">
        <v>590000</v>
      </c>
      <c r="T1139" s="292">
        <f t="shared" si="362"/>
        <v>590000</v>
      </c>
      <c r="U1139" s="113"/>
      <c r="V1139" s="113"/>
      <c r="W1139" s="113"/>
      <c r="X1139" s="113"/>
      <c r="Y1139" s="113"/>
      <c r="Z1139" s="113"/>
      <c r="AA1139" s="275"/>
      <c r="AB1139" s="113"/>
      <c r="AC1139" s="113"/>
      <c r="AD1139" s="122"/>
      <c r="AE1139" s="133"/>
      <c r="AF1139" s="115"/>
      <c r="AG1139" s="133"/>
      <c r="AH1139" s="133"/>
      <c r="AI1139" s="132">
        <f t="shared" si="366"/>
        <v>590000</v>
      </c>
      <c r="AJ1139" s="132">
        <f t="shared" si="367"/>
        <v>590000</v>
      </c>
      <c r="AK1139" s="133">
        <f t="shared" si="368"/>
        <v>0</v>
      </c>
      <c r="AL1139" s="198"/>
      <c r="AM1139" s="133" t="s">
        <v>886</v>
      </c>
      <c r="AN1139" s="246">
        <v>44868</v>
      </c>
      <c r="AO1139" s="100"/>
      <c r="AP1139" s="96"/>
      <c r="AQ1139" s="96"/>
      <c r="AR1139" s="96"/>
      <c r="AS1139" s="96"/>
      <c r="AT1139" s="96"/>
      <c r="AU1139" s="96"/>
      <c r="AV1139" s="96"/>
      <c r="AW1139" s="96"/>
      <c r="AX1139" s="96"/>
      <c r="AY1139" s="96"/>
      <c r="AZ1139" s="96"/>
      <c r="BA1139" s="96"/>
      <c r="BB1139" s="96"/>
      <c r="BC1139" s="96"/>
      <c r="BD1139" s="96"/>
      <c r="BE1139" s="96"/>
    </row>
    <row r="1140" s="97" customFormat="1" customHeight="1" spans="1:57">
      <c r="A1140" s="115" t="s">
        <v>8951</v>
      </c>
      <c r="B1140" s="111" t="s">
        <v>8952</v>
      </c>
      <c r="C1140" s="111" t="s">
        <v>8953</v>
      </c>
      <c r="D1140" s="113" t="s">
        <v>8954</v>
      </c>
      <c r="E1140" s="113">
        <v>15225163248</v>
      </c>
      <c r="F1140" s="267">
        <v>3</v>
      </c>
      <c r="G1140" s="268">
        <v>3826</v>
      </c>
      <c r="H1140" s="274">
        <v>20.91</v>
      </c>
      <c r="I1140" s="274" t="s">
        <v>2657</v>
      </c>
      <c r="J1140" s="113" t="s">
        <v>8955</v>
      </c>
      <c r="K1140" s="116">
        <v>19.93</v>
      </c>
      <c r="L1140" s="266" t="s">
        <v>2904</v>
      </c>
      <c r="M1140" s="266" t="s">
        <v>2835</v>
      </c>
      <c r="N1140" s="113" t="s">
        <v>66</v>
      </c>
      <c r="O1140" s="113"/>
      <c r="P1140" s="113"/>
      <c r="Q1140" s="113">
        <v>31359.76</v>
      </c>
      <c r="R1140" s="113">
        <v>655733</v>
      </c>
      <c r="S1140" s="121">
        <v>335733</v>
      </c>
      <c r="T1140" s="292">
        <f t="shared" si="362"/>
        <v>320000</v>
      </c>
      <c r="U1140" s="113"/>
      <c r="V1140" s="113">
        <v>1359</v>
      </c>
      <c r="W1140" s="113">
        <v>550</v>
      </c>
      <c r="X1140" s="113"/>
      <c r="Y1140" s="113" t="s">
        <v>2669</v>
      </c>
      <c r="Z1140" s="113" t="s">
        <v>48</v>
      </c>
      <c r="AA1140" s="275">
        <v>44185</v>
      </c>
      <c r="AB1140" s="113"/>
      <c r="AC1140" s="113"/>
      <c r="AD1140" s="122"/>
      <c r="AE1140" s="133"/>
      <c r="AF1140" s="115"/>
      <c r="AG1140" s="133"/>
      <c r="AH1140" s="133"/>
      <c r="AI1140" s="132">
        <f t="shared" si="366"/>
        <v>337642</v>
      </c>
      <c r="AJ1140" s="341"/>
      <c r="AK1140" s="133">
        <f t="shared" si="368"/>
        <v>337642</v>
      </c>
      <c r="AL1140" s="371" t="s">
        <v>8618</v>
      </c>
      <c r="AM1140" s="133" t="s">
        <v>886</v>
      </c>
      <c r="AN1140" s="246">
        <v>44868</v>
      </c>
      <c r="AO1140" s="100"/>
      <c r="AP1140" s="96"/>
      <c r="AQ1140" s="96"/>
      <c r="AR1140" s="96"/>
      <c r="AS1140" s="96"/>
      <c r="AT1140" s="96"/>
      <c r="AU1140" s="96"/>
      <c r="AV1140" s="96"/>
      <c r="AW1140" s="96"/>
      <c r="AX1140" s="96"/>
      <c r="AY1140" s="96"/>
      <c r="AZ1140" s="96"/>
      <c r="BA1140" s="96"/>
      <c r="BB1140" s="96"/>
      <c r="BC1140" s="96"/>
      <c r="BD1140" s="96"/>
      <c r="BE1140" s="96"/>
    </row>
    <row r="1141" s="97" customFormat="1" customHeight="1" spans="1:57">
      <c r="A1141" s="115" t="s">
        <v>8956</v>
      </c>
      <c r="B1141" s="111" t="s">
        <v>8957</v>
      </c>
      <c r="C1141" s="554" t="s">
        <v>8958</v>
      </c>
      <c r="D1141" s="113" t="s">
        <v>8959</v>
      </c>
      <c r="E1141" s="113">
        <v>18695906081</v>
      </c>
      <c r="F1141" s="267">
        <v>1</v>
      </c>
      <c r="G1141" s="268">
        <v>1608</v>
      </c>
      <c r="H1141" s="274">
        <v>24.59</v>
      </c>
      <c r="I1141" s="274" t="s">
        <v>2657</v>
      </c>
      <c r="J1141" s="113" t="s">
        <v>8960</v>
      </c>
      <c r="K1141" s="116">
        <v>14.56</v>
      </c>
      <c r="L1141" s="266" t="s">
        <v>2961</v>
      </c>
      <c r="M1141" s="266" t="s">
        <v>6680</v>
      </c>
      <c r="N1141" s="113" t="s">
        <v>66</v>
      </c>
      <c r="O1141" s="113"/>
      <c r="P1141" s="113"/>
      <c r="Q1141" s="113">
        <v>48076.92</v>
      </c>
      <c r="R1141" s="113">
        <v>700000</v>
      </c>
      <c r="S1141" s="121">
        <v>350000</v>
      </c>
      <c r="T1141" s="292">
        <f t="shared" si="362"/>
        <v>350000</v>
      </c>
      <c r="U1141" s="113"/>
      <c r="V1141" s="113"/>
      <c r="W1141" s="113"/>
      <c r="X1141" s="113"/>
      <c r="Y1141" s="113"/>
      <c r="Z1141" s="113"/>
      <c r="AA1141" s="275"/>
      <c r="AB1141" s="113"/>
      <c r="AC1141" s="113"/>
      <c r="AD1141" s="122"/>
      <c r="AE1141" s="133"/>
      <c r="AF1141" s="115"/>
      <c r="AG1141" s="133" t="s">
        <v>8961</v>
      </c>
      <c r="AH1141" s="133"/>
      <c r="AI1141" s="132">
        <f t="shared" si="366"/>
        <v>350000</v>
      </c>
      <c r="AJ1141" s="132">
        <f t="shared" si="367"/>
        <v>350000</v>
      </c>
      <c r="AK1141" s="133">
        <f t="shared" si="368"/>
        <v>0</v>
      </c>
      <c r="AL1141" s="198"/>
      <c r="AM1141" s="133" t="s">
        <v>886</v>
      </c>
      <c r="AN1141" s="246">
        <v>44868</v>
      </c>
      <c r="AO1141" s="100"/>
      <c r="AP1141" s="96"/>
      <c r="AQ1141" s="96"/>
      <c r="AR1141" s="96"/>
      <c r="AS1141" s="96"/>
      <c r="AT1141" s="96"/>
      <c r="AU1141" s="96"/>
      <c r="AV1141" s="96"/>
      <c r="AW1141" s="96"/>
      <c r="AX1141" s="96"/>
      <c r="AY1141" s="96"/>
      <c r="AZ1141" s="96"/>
      <c r="BA1141" s="96"/>
      <c r="BB1141" s="96"/>
      <c r="BC1141" s="96"/>
      <c r="BD1141" s="96"/>
      <c r="BE1141" s="96"/>
    </row>
    <row r="1142" s="97" customFormat="1" customHeight="1" spans="1:57">
      <c r="A1142" s="115" t="s">
        <v>8962</v>
      </c>
      <c r="B1142" s="111" t="s">
        <v>8963</v>
      </c>
      <c r="C1142" s="111" t="s">
        <v>8964</v>
      </c>
      <c r="D1142" s="113" t="s">
        <v>8965</v>
      </c>
      <c r="E1142" s="113">
        <v>13603839992</v>
      </c>
      <c r="F1142" s="267">
        <v>3</v>
      </c>
      <c r="G1142" s="268">
        <v>3636</v>
      </c>
      <c r="H1142" s="274">
        <v>20.12</v>
      </c>
      <c r="I1142" s="274" t="s">
        <v>2657</v>
      </c>
      <c r="J1142" s="113" t="s">
        <v>8966</v>
      </c>
      <c r="K1142" s="116">
        <v>19.82</v>
      </c>
      <c r="L1142" s="266" t="s">
        <v>3073</v>
      </c>
      <c r="M1142" s="266" t="s">
        <v>3787</v>
      </c>
      <c r="N1142" s="113" t="s">
        <v>56</v>
      </c>
      <c r="O1142" s="113"/>
      <c r="P1142" s="113"/>
      <c r="Q1142" s="113">
        <v>30514.46</v>
      </c>
      <c r="R1142" s="113">
        <v>613951</v>
      </c>
      <c r="S1142" s="121">
        <v>613951</v>
      </c>
      <c r="T1142" s="292">
        <f t="shared" si="362"/>
        <v>0</v>
      </c>
      <c r="U1142" s="113"/>
      <c r="V1142" s="113">
        <v>1307</v>
      </c>
      <c r="W1142" s="113">
        <v>550</v>
      </c>
      <c r="X1142" s="113"/>
      <c r="Y1142" s="113" t="s">
        <v>2669</v>
      </c>
      <c r="Z1142" s="113" t="s">
        <v>48</v>
      </c>
      <c r="AA1142" s="275">
        <v>44052</v>
      </c>
      <c r="AB1142" s="113"/>
      <c r="AC1142" s="113"/>
      <c r="AD1142" s="122"/>
      <c r="AE1142" s="133"/>
      <c r="AF1142" s="115"/>
      <c r="AG1142" s="133"/>
      <c r="AH1142" s="133"/>
      <c r="AI1142" s="132">
        <f t="shared" si="366"/>
        <v>615808</v>
      </c>
      <c r="AJ1142" s="132">
        <f t="shared" si="367"/>
        <v>615808</v>
      </c>
      <c r="AK1142" s="133">
        <f t="shared" si="368"/>
        <v>0</v>
      </c>
      <c r="AL1142" s="198"/>
      <c r="AM1142" s="133" t="s">
        <v>886</v>
      </c>
      <c r="AN1142" s="246">
        <v>44868</v>
      </c>
      <c r="AO1142" s="100"/>
      <c r="AP1142" s="96"/>
      <c r="AQ1142" s="96"/>
      <c r="AR1142" s="96"/>
      <c r="AS1142" s="96"/>
      <c r="AT1142" s="96"/>
      <c r="AU1142" s="96"/>
      <c r="AV1142" s="96"/>
      <c r="AW1142" s="96"/>
      <c r="AX1142" s="96"/>
      <c r="AY1142" s="96"/>
      <c r="AZ1142" s="96"/>
      <c r="BA1142" s="96"/>
      <c r="BB1142" s="96"/>
      <c r="BC1142" s="96"/>
      <c r="BD1142" s="96"/>
      <c r="BE1142" s="96"/>
    </row>
    <row r="1143" s="97" customFormat="1" customHeight="1" spans="1:57">
      <c r="A1143" s="115" t="s">
        <v>8967</v>
      </c>
      <c r="B1143" s="111" t="s">
        <v>8968</v>
      </c>
      <c r="C1143" s="554" t="s">
        <v>8969</v>
      </c>
      <c r="D1143" s="113" t="s">
        <v>8970</v>
      </c>
      <c r="E1143" s="113">
        <v>13838133641</v>
      </c>
      <c r="F1143" s="267">
        <v>1</v>
      </c>
      <c r="G1143" s="268">
        <v>181</v>
      </c>
      <c r="H1143" s="274">
        <v>22.5</v>
      </c>
      <c r="I1143" s="274" t="s">
        <v>2657</v>
      </c>
      <c r="J1143" s="113" t="s">
        <v>8971</v>
      </c>
      <c r="K1143" s="116">
        <v>31.93</v>
      </c>
      <c r="L1143" s="266" t="s">
        <v>3522</v>
      </c>
      <c r="M1143" s="266" t="s">
        <v>3522</v>
      </c>
      <c r="N1143" s="113" t="s">
        <v>66</v>
      </c>
      <c r="O1143" s="113"/>
      <c r="P1143" s="113"/>
      <c r="Q1143" s="113">
        <v>47035.52</v>
      </c>
      <c r="R1143" s="113">
        <v>1501844</v>
      </c>
      <c r="S1143" s="121">
        <v>751844</v>
      </c>
      <c r="T1143" s="292">
        <f t="shared" si="362"/>
        <v>750000</v>
      </c>
      <c r="U1143" s="113"/>
      <c r="V1143" s="113"/>
      <c r="W1143" s="113"/>
      <c r="X1143" s="113"/>
      <c r="Y1143" s="113"/>
      <c r="Z1143" s="113"/>
      <c r="AA1143" s="275"/>
      <c r="AB1143" s="113"/>
      <c r="AC1143" s="113"/>
      <c r="AD1143" s="122"/>
      <c r="AE1143" s="133"/>
      <c r="AF1143" s="115"/>
      <c r="AG1143" s="133"/>
      <c r="AH1143" s="133"/>
      <c r="AI1143" s="132">
        <f t="shared" si="366"/>
        <v>751844</v>
      </c>
      <c r="AJ1143" s="132">
        <f t="shared" si="367"/>
        <v>751844</v>
      </c>
      <c r="AK1143" s="133">
        <f t="shared" si="368"/>
        <v>0</v>
      </c>
      <c r="AL1143" s="198"/>
      <c r="AM1143" s="133" t="s">
        <v>886</v>
      </c>
      <c r="AN1143" s="246">
        <v>44868</v>
      </c>
      <c r="AO1143" s="100"/>
      <c r="AP1143" s="96"/>
      <c r="AQ1143" s="96"/>
      <c r="AR1143" s="96"/>
      <c r="AS1143" s="96"/>
      <c r="AT1143" s="96"/>
      <c r="AU1143" s="96"/>
      <c r="AV1143" s="96"/>
      <c r="AW1143" s="96"/>
      <c r="AX1143" s="96"/>
      <c r="AY1143" s="96"/>
      <c r="AZ1143" s="96"/>
      <c r="BA1143" s="96"/>
      <c r="BB1143" s="96"/>
      <c r="BC1143" s="96"/>
      <c r="BD1143" s="96"/>
      <c r="BE1143" s="96"/>
    </row>
    <row r="1144" s="97" customFormat="1" customHeight="1" spans="1:57">
      <c r="A1144" s="115" t="s">
        <v>8972</v>
      </c>
      <c r="B1144" s="111" t="s">
        <v>8973</v>
      </c>
      <c r="C1144" s="554" t="s">
        <v>8974</v>
      </c>
      <c r="D1144" s="113" t="s">
        <v>8975</v>
      </c>
      <c r="E1144" s="113">
        <v>13653838225</v>
      </c>
      <c r="F1144" s="267">
        <v>4</v>
      </c>
      <c r="G1144" s="268">
        <v>4392</v>
      </c>
      <c r="H1144" s="274">
        <v>22.95</v>
      </c>
      <c r="I1144" s="274" t="s">
        <v>2657</v>
      </c>
      <c r="J1144" s="113" t="s">
        <v>8976</v>
      </c>
      <c r="K1144" s="116">
        <v>20.07</v>
      </c>
      <c r="L1144" s="266" t="s">
        <v>2691</v>
      </c>
      <c r="M1144" s="266" t="s">
        <v>3956</v>
      </c>
      <c r="N1144" s="113" t="s">
        <v>66</v>
      </c>
      <c r="O1144" s="113"/>
      <c r="P1144" s="113"/>
      <c r="Q1144" s="113">
        <v>26673.44</v>
      </c>
      <c r="R1144" s="113">
        <v>535336</v>
      </c>
      <c r="S1144" s="121">
        <v>275336</v>
      </c>
      <c r="T1144" s="292">
        <f t="shared" si="362"/>
        <v>260000</v>
      </c>
      <c r="U1144" s="113"/>
      <c r="V1144" s="113"/>
      <c r="W1144" s="113"/>
      <c r="X1144" s="113"/>
      <c r="Y1144" s="113"/>
      <c r="Z1144" s="113"/>
      <c r="AA1144" s="275"/>
      <c r="AB1144" s="113"/>
      <c r="AC1144" s="113"/>
      <c r="AD1144" s="122"/>
      <c r="AE1144" s="133">
        <v>4664</v>
      </c>
      <c r="AF1144" s="115"/>
      <c r="AG1144" s="133"/>
      <c r="AH1144" s="133"/>
      <c r="AI1144" s="132">
        <f t="shared" si="366"/>
        <v>280000</v>
      </c>
      <c r="AJ1144" s="341"/>
      <c r="AK1144" s="133">
        <f t="shared" si="368"/>
        <v>280000</v>
      </c>
      <c r="AL1144" s="371" t="s">
        <v>8977</v>
      </c>
      <c r="AM1144" s="133" t="s">
        <v>886</v>
      </c>
      <c r="AN1144" s="246">
        <v>44868</v>
      </c>
      <c r="AO1144" s="100"/>
      <c r="AP1144" s="96"/>
      <c r="AQ1144" s="96"/>
      <c r="AR1144" s="96"/>
      <c r="AS1144" s="96"/>
      <c r="AT1144" s="96"/>
      <c r="AU1144" s="96"/>
      <c r="AV1144" s="96"/>
      <c r="AW1144" s="96"/>
      <c r="AX1144" s="96"/>
      <c r="AY1144" s="96"/>
      <c r="AZ1144" s="96"/>
      <c r="BA1144" s="96"/>
      <c r="BB1144" s="96"/>
      <c r="BC1144" s="96"/>
      <c r="BD1144" s="96"/>
      <c r="BE1144" s="96"/>
    </row>
    <row r="1145" s="97" customFormat="1" customHeight="1" spans="1:57">
      <c r="A1145" s="115" t="s">
        <v>8978</v>
      </c>
      <c r="B1145" s="111" t="s">
        <v>8979</v>
      </c>
      <c r="C1145" s="554" t="s">
        <v>8980</v>
      </c>
      <c r="D1145" s="113" t="s">
        <v>8981</v>
      </c>
      <c r="E1145" s="113">
        <v>13937182569</v>
      </c>
      <c r="F1145" s="267">
        <v>4</v>
      </c>
      <c r="G1145" s="268">
        <v>4273</v>
      </c>
      <c r="H1145" s="274">
        <v>8.54</v>
      </c>
      <c r="I1145" s="274" t="s">
        <v>2657</v>
      </c>
      <c r="J1145" s="113" t="s">
        <v>8982</v>
      </c>
      <c r="K1145" s="116">
        <v>7.37</v>
      </c>
      <c r="L1145" s="266" t="s">
        <v>3408</v>
      </c>
      <c r="M1145" s="266" t="s">
        <v>2770</v>
      </c>
      <c r="N1145" s="113" t="s">
        <v>56</v>
      </c>
      <c r="O1145" s="113"/>
      <c r="P1145" s="113"/>
      <c r="Q1145" s="113">
        <v>25756.58</v>
      </c>
      <c r="R1145" s="113">
        <v>189826</v>
      </c>
      <c r="S1145" s="121">
        <v>189826</v>
      </c>
      <c r="T1145" s="292">
        <f t="shared" si="362"/>
        <v>0</v>
      </c>
      <c r="U1145" s="113"/>
      <c r="V1145" s="113"/>
      <c r="W1145" s="113"/>
      <c r="X1145" s="113"/>
      <c r="Y1145" s="113"/>
      <c r="Z1145" s="113"/>
      <c r="AA1145" s="275"/>
      <c r="AB1145" s="113"/>
      <c r="AC1145" s="113"/>
      <c r="AD1145" s="122"/>
      <c r="AE1145" s="133"/>
      <c r="AF1145" s="115"/>
      <c r="AG1145" s="133"/>
      <c r="AH1145" s="133"/>
      <c r="AI1145" s="132">
        <f t="shared" si="366"/>
        <v>189826</v>
      </c>
      <c r="AJ1145" s="132">
        <f t="shared" si="367"/>
        <v>189826</v>
      </c>
      <c r="AK1145" s="133">
        <f t="shared" si="368"/>
        <v>0</v>
      </c>
      <c r="AL1145" s="198"/>
      <c r="AM1145" s="133" t="s">
        <v>886</v>
      </c>
      <c r="AN1145" s="246">
        <v>44868</v>
      </c>
      <c r="AO1145" s="100"/>
      <c r="AP1145" s="96"/>
      <c r="AQ1145" s="96"/>
      <c r="AR1145" s="96"/>
      <c r="AS1145" s="96"/>
      <c r="AT1145" s="96"/>
      <c r="AU1145" s="96"/>
      <c r="AV1145" s="96"/>
      <c r="AW1145" s="96"/>
      <c r="AX1145" s="96"/>
      <c r="AY1145" s="96"/>
      <c r="AZ1145" s="96"/>
      <c r="BA1145" s="96"/>
      <c r="BB1145" s="96"/>
      <c r="BC1145" s="96"/>
      <c r="BD1145" s="96"/>
      <c r="BE1145" s="96"/>
    </row>
    <row r="1146" s="97" customFormat="1" customHeight="1" spans="1:57">
      <c r="A1146" s="115" t="s">
        <v>8983</v>
      </c>
      <c r="B1146" s="111" t="s">
        <v>8984</v>
      </c>
      <c r="C1146" s="111" t="s">
        <v>8985</v>
      </c>
      <c r="D1146" s="113" t="s">
        <v>8986</v>
      </c>
      <c r="E1146" s="111" t="s">
        <v>8987</v>
      </c>
      <c r="F1146" s="267">
        <v>3</v>
      </c>
      <c r="G1146" s="268">
        <v>3734</v>
      </c>
      <c r="H1146" s="274">
        <v>15.45</v>
      </c>
      <c r="I1146" s="274" t="s">
        <v>2657</v>
      </c>
      <c r="J1146" s="113" t="s">
        <v>8988</v>
      </c>
      <c r="K1146" s="116">
        <v>15.03</v>
      </c>
      <c r="L1146" s="266" t="s">
        <v>2854</v>
      </c>
      <c r="M1146" s="266" t="s">
        <v>3933</v>
      </c>
      <c r="N1146" s="113" t="s">
        <v>66</v>
      </c>
      <c r="O1146" s="113"/>
      <c r="P1146" s="113"/>
      <c r="Q1146" s="113">
        <v>32495.54</v>
      </c>
      <c r="R1146" s="113">
        <v>502056</v>
      </c>
      <c r="S1146" s="121">
        <v>252056</v>
      </c>
      <c r="T1146" s="292">
        <f t="shared" si="362"/>
        <v>250000</v>
      </c>
      <c r="U1146" s="113"/>
      <c r="V1146" s="113">
        <v>1004</v>
      </c>
      <c r="W1146" s="113">
        <v>560</v>
      </c>
      <c r="X1146" s="113"/>
      <c r="Y1146" s="113"/>
      <c r="Z1146" s="113"/>
      <c r="AA1146" s="275"/>
      <c r="AB1146" s="113"/>
      <c r="AC1146" s="113">
        <v>5212</v>
      </c>
      <c r="AD1146" s="122"/>
      <c r="AE1146" s="133"/>
      <c r="AF1146" s="115"/>
      <c r="AG1146" s="133"/>
      <c r="AH1146" s="133"/>
      <c r="AI1146" s="132">
        <f t="shared" ref="AI1146:AI1154" si="369">S1146+U1146+V1146+W1146+X1146+AC1146+AD1146+AE1146</f>
        <v>258832</v>
      </c>
      <c r="AJ1146" s="132">
        <f t="shared" ref="AJ1146:AJ1154" si="370">S1146+U1146+V1146+W1146+X1146</f>
        <v>253620</v>
      </c>
      <c r="AK1146" s="133">
        <f t="shared" ref="AK1146:AK1154" si="371">AI1146-AJ1146</f>
        <v>5212</v>
      </c>
      <c r="AL1146" s="198"/>
      <c r="AM1146" s="133" t="s">
        <v>886</v>
      </c>
      <c r="AN1146" s="246">
        <v>44868</v>
      </c>
      <c r="AO1146" s="100"/>
      <c r="AP1146" s="96"/>
      <c r="AQ1146" s="96"/>
      <c r="AR1146" s="96"/>
      <c r="AS1146" s="96"/>
      <c r="AT1146" s="96"/>
      <c r="AU1146" s="96"/>
      <c r="AV1146" s="96"/>
      <c r="AW1146" s="96"/>
      <c r="AX1146" s="96"/>
      <c r="AY1146" s="96"/>
      <c r="AZ1146" s="96"/>
      <c r="BA1146" s="96"/>
      <c r="BB1146" s="96"/>
      <c r="BC1146" s="96"/>
      <c r="BD1146" s="96"/>
      <c r="BE1146" s="96"/>
    </row>
    <row r="1147" s="97" customFormat="1" customHeight="1" spans="1:57">
      <c r="A1147" s="115" t="s">
        <v>8989</v>
      </c>
      <c r="B1147" s="111" t="s">
        <v>8990</v>
      </c>
      <c r="C1147" s="111" t="s">
        <v>8991</v>
      </c>
      <c r="D1147" s="113" t="s">
        <v>8992</v>
      </c>
      <c r="E1147" s="111">
        <v>15628595769</v>
      </c>
      <c r="F1147" s="267">
        <v>3</v>
      </c>
      <c r="G1147" s="268">
        <v>3254</v>
      </c>
      <c r="H1147" s="274">
        <v>21.64</v>
      </c>
      <c r="I1147" s="274" t="s">
        <v>2657</v>
      </c>
      <c r="J1147" s="113" t="s">
        <v>8993</v>
      </c>
      <c r="K1147" s="116">
        <v>21.12</v>
      </c>
      <c r="L1147" s="266" t="s">
        <v>3956</v>
      </c>
      <c r="M1147" s="266" t="s">
        <v>7460</v>
      </c>
      <c r="N1147" s="113" t="s">
        <v>66</v>
      </c>
      <c r="O1147" s="113"/>
      <c r="P1147" s="113"/>
      <c r="Q1147" s="113">
        <v>31723.48</v>
      </c>
      <c r="R1147" s="113">
        <v>686496</v>
      </c>
      <c r="S1147" s="121">
        <v>346496</v>
      </c>
      <c r="T1147" s="292">
        <f t="shared" si="362"/>
        <v>340000</v>
      </c>
      <c r="U1147" s="113"/>
      <c r="V1147" s="113">
        <v>1406</v>
      </c>
      <c r="W1147" s="113">
        <v>550</v>
      </c>
      <c r="X1147" s="113"/>
      <c r="Y1147" s="113" t="s">
        <v>2669</v>
      </c>
      <c r="Z1147" s="113" t="s">
        <v>48</v>
      </c>
      <c r="AA1147" s="275">
        <v>44185</v>
      </c>
      <c r="AB1147" s="113"/>
      <c r="AC1147" s="113"/>
      <c r="AD1147" s="122"/>
      <c r="AE1147" s="133"/>
      <c r="AF1147" s="115"/>
      <c r="AG1147" s="133"/>
      <c r="AH1147" s="133"/>
      <c r="AI1147" s="132">
        <f t="shared" si="369"/>
        <v>348452</v>
      </c>
      <c r="AJ1147" s="132">
        <f t="shared" si="370"/>
        <v>348452</v>
      </c>
      <c r="AK1147" s="133">
        <f t="shared" si="371"/>
        <v>0</v>
      </c>
      <c r="AL1147" s="198"/>
      <c r="AM1147" s="133" t="s">
        <v>886</v>
      </c>
      <c r="AN1147" s="246">
        <v>44868</v>
      </c>
      <c r="AO1147" s="100"/>
      <c r="AP1147" s="96"/>
      <c r="AQ1147" s="96"/>
      <c r="AR1147" s="96"/>
      <c r="AS1147" s="96"/>
      <c r="AT1147" s="96"/>
      <c r="AU1147" s="96"/>
      <c r="AV1147" s="96"/>
      <c r="AW1147" s="96"/>
      <c r="AX1147" s="96"/>
      <c r="AY1147" s="96"/>
      <c r="AZ1147" s="96"/>
      <c r="BA1147" s="96"/>
      <c r="BB1147" s="96"/>
      <c r="BC1147" s="96"/>
      <c r="BD1147" s="96"/>
      <c r="BE1147" s="96"/>
    </row>
    <row r="1148" s="97" customFormat="1" customHeight="1" spans="1:57">
      <c r="A1148" s="115" t="s">
        <v>8994</v>
      </c>
      <c r="B1148" s="111" t="s">
        <v>8995</v>
      </c>
      <c r="C1148" s="111" t="s">
        <v>8996</v>
      </c>
      <c r="D1148" s="113" t="s">
        <v>8997</v>
      </c>
      <c r="E1148" s="111">
        <v>15981990907</v>
      </c>
      <c r="F1148" s="267">
        <v>3</v>
      </c>
      <c r="G1148" s="268">
        <v>3498</v>
      </c>
      <c r="H1148" s="274">
        <v>13.39</v>
      </c>
      <c r="I1148" s="274" t="s">
        <v>2657</v>
      </c>
      <c r="J1148" s="113" t="s">
        <v>8998</v>
      </c>
      <c r="K1148" s="116">
        <v>12.66</v>
      </c>
      <c r="L1148" s="266" t="s">
        <v>3558</v>
      </c>
      <c r="M1148" s="266" t="s">
        <v>4270</v>
      </c>
      <c r="N1148" s="113" t="s">
        <v>66</v>
      </c>
      <c r="O1148" s="113"/>
      <c r="P1148" s="113"/>
      <c r="Q1148" s="113">
        <v>31936.65</v>
      </c>
      <c r="R1148" s="113">
        <v>404318</v>
      </c>
      <c r="S1148" s="121">
        <v>204318</v>
      </c>
      <c r="T1148" s="292">
        <f t="shared" si="362"/>
        <v>200000</v>
      </c>
      <c r="U1148" s="113"/>
      <c r="V1148" s="113"/>
      <c r="W1148" s="113"/>
      <c r="X1148" s="113"/>
      <c r="Y1148" s="113"/>
      <c r="Z1148" s="113"/>
      <c r="AA1148" s="275"/>
      <c r="AB1148" s="113"/>
      <c r="AC1148" s="113"/>
      <c r="AD1148" s="122"/>
      <c r="AE1148" s="133"/>
      <c r="AF1148" s="115"/>
      <c r="AG1148" s="133"/>
      <c r="AH1148" s="133"/>
      <c r="AI1148" s="132">
        <f t="shared" si="369"/>
        <v>204318</v>
      </c>
      <c r="AJ1148" s="341"/>
      <c r="AK1148" s="133">
        <f t="shared" si="371"/>
        <v>204318</v>
      </c>
      <c r="AL1148" s="372" t="s">
        <v>8999</v>
      </c>
      <c r="AM1148" s="133" t="s">
        <v>886</v>
      </c>
      <c r="AN1148" s="246">
        <v>44868</v>
      </c>
      <c r="AO1148" s="100"/>
      <c r="AP1148" s="96"/>
      <c r="AQ1148" s="96"/>
      <c r="AR1148" s="96"/>
      <c r="AS1148" s="96"/>
      <c r="AT1148" s="96"/>
      <c r="AU1148" s="96"/>
      <c r="AV1148" s="96"/>
      <c r="AW1148" s="96"/>
      <c r="AX1148" s="96"/>
      <c r="AY1148" s="96"/>
      <c r="AZ1148" s="96"/>
      <c r="BA1148" s="96"/>
      <c r="BB1148" s="96"/>
      <c r="BC1148" s="96"/>
      <c r="BD1148" s="96"/>
      <c r="BE1148" s="96"/>
    </row>
    <row r="1149" s="97" customFormat="1" customHeight="1" spans="1:57">
      <c r="A1149" s="115" t="s">
        <v>9000</v>
      </c>
      <c r="B1149" s="111" t="s">
        <v>9001</v>
      </c>
      <c r="C1149" s="111" t="s">
        <v>9002</v>
      </c>
      <c r="D1149" s="113" t="s">
        <v>9003</v>
      </c>
      <c r="E1149" s="113">
        <v>15237129569</v>
      </c>
      <c r="F1149" s="267">
        <v>3</v>
      </c>
      <c r="G1149" s="268">
        <v>3618</v>
      </c>
      <c r="H1149" s="274">
        <v>20.12</v>
      </c>
      <c r="I1149" s="274" t="s">
        <v>2657</v>
      </c>
      <c r="J1149" s="113" t="s">
        <v>9004</v>
      </c>
      <c r="K1149" s="116">
        <v>16.05</v>
      </c>
      <c r="L1149" s="266" t="s">
        <v>3073</v>
      </c>
      <c r="M1149" s="266" t="s">
        <v>3074</v>
      </c>
      <c r="N1149" s="113" t="s">
        <v>66</v>
      </c>
      <c r="O1149" s="113"/>
      <c r="P1149" s="113"/>
      <c r="Q1149" s="113">
        <v>31468.04</v>
      </c>
      <c r="R1149" s="113">
        <v>505062</v>
      </c>
      <c r="S1149" s="121">
        <v>255062</v>
      </c>
      <c r="T1149" s="292">
        <f t="shared" si="362"/>
        <v>250000</v>
      </c>
      <c r="U1149" s="113"/>
      <c r="V1149" s="113"/>
      <c r="W1149" s="113"/>
      <c r="X1149" s="113"/>
      <c r="Y1149" s="113"/>
      <c r="Z1149" s="113"/>
      <c r="AA1149" s="275"/>
      <c r="AB1149" s="113"/>
      <c r="AC1149" s="113"/>
      <c r="AD1149" s="122"/>
      <c r="AE1149" s="133"/>
      <c r="AF1149" s="115"/>
      <c r="AG1149" s="133"/>
      <c r="AH1149" s="133"/>
      <c r="AI1149" s="132">
        <f t="shared" si="369"/>
        <v>255062</v>
      </c>
      <c r="AJ1149" s="132">
        <f t="shared" si="370"/>
        <v>255062</v>
      </c>
      <c r="AK1149" s="133">
        <f t="shared" si="371"/>
        <v>0</v>
      </c>
      <c r="AL1149" s="373"/>
      <c r="AM1149" s="133" t="s">
        <v>886</v>
      </c>
      <c r="AN1149" s="246">
        <v>44865</v>
      </c>
      <c r="AO1149" s="100"/>
      <c r="AP1149" s="96"/>
      <c r="AQ1149" s="96"/>
      <c r="AR1149" s="96"/>
      <c r="AS1149" s="96"/>
      <c r="AT1149" s="96"/>
      <c r="AU1149" s="96"/>
      <c r="AV1149" s="96"/>
      <c r="AW1149" s="96"/>
      <c r="AX1149" s="96"/>
      <c r="AY1149" s="96"/>
      <c r="AZ1149" s="96"/>
      <c r="BA1149" s="96"/>
      <c r="BB1149" s="96"/>
      <c r="BC1149" s="96"/>
      <c r="BD1149" s="96"/>
      <c r="BE1149" s="96"/>
    </row>
    <row r="1150" s="97" customFormat="1" customHeight="1" spans="1:57">
      <c r="A1150" s="115" t="s">
        <v>9005</v>
      </c>
      <c r="B1150" s="111" t="s">
        <v>9006</v>
      </c>
      <c r="C1150" s="554" t="s">
        <v>9007</v>
      </c>
      <c r="D1150" s="113" t="s">
        <v>9008</v>
      </c>
      <c r="E1150" s="113">
        <v>15936239969</v>
      </c>
      <c r="F1150" s="267">
        <v>3</v>
      </c>
      <c r="G1150" s="268">
        <v>3967</v>
      </c>
      <c r="H1150" s="274">
        <v>20.01</v>
      </c>
      <c r="I1150" s="274" t="s">
        <v>2657</v>
      </c>
      <c r="J1150" s="113"/>
      <c r="K1150" s="116"/>
      <c r="L1150" s="266" t="s">
        <v>3766</v>
      </c>
      <c r="M1150" s="266" t="s">
        <v>3766</v>
      </c>
      <c r="N1150" s="113" t="s">
        <v>66</v>
      </c>
      <c r="O1150" s="113"/>
      <c r="P1150" s="113"/>
      <c r="Q1150" s="113">
        <v>31930.88</v>
      </c>
      <c r="R1150" s="113">
        <v>638937</v>
      </c>
      <c r="S1150" s="121">
        <v>328937</v>
      </c>
      <c r="T1150" s="292">
        <f t="shared" si="362"/>
        <v>310000</v>
      </c>
      <c r="U1150" s="113"/>
      <c r="V1150" s="113">
        <v>1300</v>
      </c>
      <c r="W1150" s="113">
        <v>550</v>
      </c>
      <c r="X1150" s="113"/>
      <c r="Y1150" s="113"/>
      <c r="Z1150" s="113"/>
      <c r="AA1150" s="275"/>
      <c r="AB1150" s="113"/>
      <c r="AC1150" s="113">
        <f>1801-550</f>
        <v>1251</v>
      </c>
      <c r="AD1150" s="122"/>
      <c r="AE1150" s="133"/>
      <c r="AF1150" s="115"/>
      <c r="AG1150" s="133"/>
      <c r="AH1150" s="133"/>
      <c r="AI1150" s="132">
        <f t="shared" si="369"/>
        <v>332038</v>
      </c>
      <c r="AJ1150" s="132">
        <f t="shared" si="370"/>
        <v>330787</v>
      </c>
      <c r="AK1150" s="133">
        <f t="shared" si="371"/>
        <v>1251</v>
      </c>
      <c r="AL1150" s="198"/>
      <c r="AM1150" s="133" t="s">
        <v>886</v>
      </c>
      <c r="AN1150" s="246">
        <v>44865</v>
      </c>
      <c r="AO1150" s="100"/>
      <c r="AP1150" s="96"/>
      <c r="AQ1150" s="96"/>
      <c r="AR1150" s="96"/>
      <c r="AS1150" s="96"/>
      <c r="AT1150" s="96"/>
      <c r="AU1150" s="96"/>
      <c r="AV1150" s="96"/>
      <c r="AW1150" s="96"/>
      <c r="AX1150" s="96"/>
      <c r="AY1150" s="96"/>
      <c r="AZ1150" s="96"/>
      <c r="BA1150" s="96"/>
      <c r="BB1150" s="96"/>
      <c r="BC1150" s="96"/>
      <c r="BD1150" s="96"/>
      <c r="BE1150" s="96"/>
    </row>
    <row r="1151" s="97" customFormat="1" customHeight="1" spans="1:57">
      <c r="A1151" s="115" t="s">
        <v>9009</v>
      </c>
      <c r="B1151" s="111" t="s">
        <v>9010</v>
      </c>
      <c r="C1151" s="554" t="s">
        <v>9011</v>
      </c>
      <c r="D1151" s="113" t="s">
        <v>9012</v>
      </c>
      <c r="E1151" s="113">
        <v>13203899931</v>
      </c>
      <c r="F1151" s="267">
        <v>4</v>
      </c>
      <c r="G1151" s="268">
        <v>4445</v>
      </c>
      <c r="H1151" s="274">
        <v>12.05</v>
      </c>
      <c r="I1151" s="274" t="s">
        <v>2657</v>
      </c>
      <c r="J1151" s="113" t="s">
        <v>9013</v>
      </c>
      <c r="K1151" s="116">
        <v>10.58</v>
      </c>
      <c r="L1151" s="266" t="s">
        <v>2718</v>
      </c>
      <c r="M1151" s="266" t="s">
        <v>5185</v>
      </c>
      <c r="N1151" s="113" t="s">
        <v>66</v>
      </c>
      <c r="O1151" s="113"/>
      <c r="P1151" s="113"/>
      <c r="Q1151" s="113">
        <v>27410.21</v>
      </c>
      <c r="R1151" s="113">
        <v>330293</v>
      </c>
      <c r="S1151" s="121">
        <v>170293</v>
      </c>
      <c r="T1151" s="292" t="s">
        <v>47</v>
      </c>
      <c r="U1151" s="113">
        <v>160000</v>
      </c>
      <c r="V1151" s="113">
        <v>783</v>
      </c>
      <c r="W1151" s="113">
        <v>550</v>
      </c>
      <c r="X1151" s="113"/>
      <c r="Y1151" s="113" t="s">
        <v>2669</v>
      </c>
      <c r="Z1151" s="113" t="s">
        <v>48</v>
      </c>
      <c r="AA1151" s="275">
        <v>44084</v>
      </c>
      <c r="AB1151" s="113"/>
      <c r="AC1151" s="113"/>
      <c r="AD1151" s="122"/>
      <c r="AE1151" s="133"/>
      <c r="AF1151" s="115"/>
      <c r="AG1151" s="133"/>
      <c r="AH1151" s="133"/>
      <c r="AI1151" s="132">
        <f t="shared" si="369"/>
        <v>331626</v>
      </c>
      <c r="AJ1151" s="132">
        <f t="shared" si="370"/>
        <v>331626</v>
      </c>
      <c r="AK1151" s="133">
        <f t="shared" si="371"/>
        <v>0</v>
      </c>
      <c r="AL1151" s="198" t="s">
        <v>9014</v>
      </c>
      <c r="AM1151" s="133" t="s">
        <v>886</v>
      </c>
      <c r="AN1151" s="246">
        <v>44865</v>
      </c>
      <c r="AO1151" s="100"/>
      <c r="AP1151" s="96"/>
      <c r="AQ1151" s="96"/>
      <c r="AR1151" s="96"/>
      <c r="AS1151" s="96"/>
      <c r="AT1151" s="96"/>
      <c r="AU1151" s="96"/>
      <c r="AV1151" s="96"/>
      <c r="AW1151" s="96"/>
      <c r="AX1151" s="96"/>
      <c r="AY1151" s="96"/>
      <c r="AZ1151" s="96"/>
      <c r="BA1151" s="96"/>
      <c r="BB1151" s="96"/>
      <c r="BC1151" s="96"/>
      <c r="BD1151" s="96"/>
      <c r="BE1151" s="96"/>
    </row>
    <row r="1152" s="97" customFormat="1" customHeight="1" spans="1:57">
      <c r="A1152" s="115" t="s">
        <v>9015</v>
      </c>
      <c r="B1152" s="111" t="s">
        <v>8809</v>
      </c>
      <c r="C1152" s="111" t="s">
        <v>9016</v>
      </c>
      <c r="D1152" s="113" t="s">
        <v>9017</v>
      </c>
      <c r="E1152" s="113">
        <v>15038292621</v>
      </c>
      <c r="F1152" s="267">
        <v>3</v>
      </c>
      <c r="G1152" s="268">
        <v>3691</v>
      </c>
      <c r="H1152" s="274">
        <v>15.97</v>
      </c>
      <c r="I1152" s="274" t="s">
        <v>2657</v>
      </c>
      <c r="J1152" s="113" t="s">
        <v>9018</v>
      </c>
      <c r="K1152" s="116">
        <v>14.49</v>
      </c>
      <c r="L1152" s="266" t="s">
        <v>4311</v>
      </c>
      <c r="M1152" s="266" t="s">
        <v>5819</v>
      </c>
      <c r="N1152" s="113" t="s">
        <v>66</v>
      </c>
      <c r="O1152" s="113"/>
      <c r="P1152" s="113"/>
      <c r="Q1152" s="113">
        <v>31475.78</v>
      </c>
      <c r="R1152" s="113">
        <v>456084</v>
      </c>
      <c r="S1152" s="121">
        <v>236084</v>
      </c>
      <c r="T1152" s="292">
        <f t="shared" ref="T1152:T1161" si="372">R1152-S1152</f>
        <v>220000</v>
      </c>
      <c r="U1152" s="113"/>
      <c r="V1152" s="113"/>
      <c r="W1152" s="113"/>
      <c r="X1152" s="113"/>
      <c r="Y1152" s="113" t="s">
        <v>2669</v>
      </c>
      <c r="Z1152" s="113"/>
      <c r="AA1152" s="275"/>
      <c r="AB1152" s="113"/>
      <c r="AC1152" s="113"/>
      <c r="AD1152" s="122"/>
      <c r="AE1152" s="133"/>
      <c r="AF1152" s="115"/>
      <c r="AG1152" s="133"/>
      <c r="AH1152" s="133"/>
      <c r="AI1152" s="132">
        <f t="shared" si="369"/>
        <v>236084</v>
      </c>
      <c r="AJ1152" s="132">
        <f t="shared" si="370"/>
        <v>236084</v>
      </c>
      <c r="AK1152" s="133">
        <f t="shared" si="371"/>
        <v>0</v>
      </c>
      <c r="AL1152" s="198"/>
      <c r="AM1152" s="133" t="s">
        <v>886</v>
      </c>
      <c r="AN1152" s="246">
        <v>44865</v>
      </c>
      <c r="AO1152" s="100"/>
      <c r="AP1152" s="96"/>
      <c r="AQ1152" s="96"/>
      <c r="AR1152" s="96"/>
      <c r="AS1152" s="96"/>
      <c r="AT1152" s="96"/>
      <c r="AU1152" s="96"/>
      <c r="AV1152" s="96"/>
      <c r="AW1152" s="96"/>
      <c r="AX1152" s="96"/>
      <c r="AY1152" s="96"/>
      <c r="AZ1152" s="96"/>
      <c r="BA1152" s="96"/>
      <c r="BB1152" s="96"/>
      <c r="BC1152" s="96"/>
      <c r="BD1152" s="96"/>
      <c r="BE1152" s="96"/>
    </row>
    <row r="1153" s="97" customFormat="1" customHeight="1" spans="1:57">
      <c r="A1153" s="115" t="s">
        <v>9019</v>
      </c>
      <c r="B1153" s="111" t="s">
        <v>9020</v>
      </c>
      <c r="C1153" s="111" t="s">
        <v>9021</v>
      </c>
      <c r="D1153" s="113" t="s">
        <v>9022</v>
      </c>
      <c r="E1153" s="113">
        <v>13303816569</v>
      </c>
      <c r="F1153" s="267">
        <v>3</v>
      </c>
      <c r="G1153" s="268">
        <v>3869</v>
      </c>
      <c r="H1153" s="274">
        <v>29.18</v>
      </c>
      <c r="I1153" s="274" t="s">
        <v>2657</v>
      </c>
      <c r="J1153" s="113" t="s">
        <v>9023</v>
      </c>
      <c r="K1153" s="116">
        <v>27.36</v>
      </c>
      <c r="L1153" s="266" t="s">
        <v>3432</v>
      </c>
      <c r="M1153" s="266" t="s">
        <v>3558</v>
      </c>
      <c r="N1153" s="113" t="s">
        <v>66</v>
      </c>
      <c r="O1153" s="113"/>
      <c r="P1153" s="113"/>
      <c r="Q1153" s="113">
        <v>32010.64</v>
      </c>
      <c r="R1153" s="113">
        <v>875811</v>
      </c>
      <c r="S1153" s="121">
        <v>445811</v>
      </c>
      <c r="T1153" s="292">
        <f t="shared" si="372"/>
        <v>430000</v>
      </c>
      <c r="U1153" s="113"/>
      <c r="V1153" s="113"/>
      <c r="W1153" s="113"/>
      <c r="X1153" s="113"/>
      <c r="Y1153" s="113"/>
      <c r="Z1153" s="113"/>
      <c r="AA1153" s="275"/>
      <c r="AB1153" s="113"/>
      <c r="AC1153" s="113"/>
      <c r="AD1153" s="122"/>
      <c r="AE1153" s="133"/>
      <c r="AF1153" s="115"/>
      <c r="AG1153" s="133"/>
      <c r="AH1153" s="133"/>
      <c r="AI1153" s="132">
        <f t="shared" si="369"/>
        <v>445811</v>
      </c>
      <c r="AJ1153" s="132">
        <f t="shared" si="370"/>
        <v>445811</v>
      </c>
      <c r="AK1153" s="133">
        <f t="shared" si="371"/>
        <v>0</v>
      </c>
      <c r="AL1153" s="198"/>
      <c r="AM1153" s="133" t="s">
        <v>886</v>
      </c>
      <c r="AN1153" s="246">
        <v>44865</v>
      </c>
      <c r="AO1153" s="100"/>
      <c r="AP1153" s="96"/>
      <c r="AQ1153" s="96"/>
      <c r="AR1153" s="96"/>
      <c r="AS1153" s="96"/>
      <c r="AT1153" s="96"/>
      <c r="AU1153" s="96"/>
      <c r="AV1153" s="96"/>
      <c r="AW1153" s="96"/>
      <c r="AX1153" s="96"/>
      <c r="AY1153" s="96"/>
      <c r="AZ1153" s="96"/>
      <c r="BA1153" s="96"/>
      <c r="BB1153" s="96"/>
      <c r="BC1153" s="96"/>
      <c r="BD1153" s="96"/>
      <c r="BE1153" s="96"/>
    </row>
    <row r="1154" s="97" customFormat="1" customHeight="1" spans="1:57">
      <c r="A1154" s="115" t="s">
        <v>9024</v>
      </c>
      <c r="B1154" s="111" t="s">
        <v>9025</v>
      </c>
      <c r="C1154" s="111" t="s">
        <v>9026</v>
      </c>
      <c r="D1154" s="113" t="s">
        <v>9027</v>
      </c>
      <c r="E1154" s="113">
        <v>15238332800</v>
      </c>
      <c r="F1154" s="267">
        <v>3</v>
      </c>
      <c r="G1154" s="268">
        <v>3736</v>
      </c>
      <c r="H1154" s="274">
        <v>15.45</v>
      </c>
      <c r="I1154" s="274" t="s">
        <v>2657</v>
      </c>
      <c r="J1154" s="113" t="s">
        <v>9028</v>
      </c>
      <c r="K1154" s="116">
        <v>14.54</v>
      </c>
      <c r="L1154" s="266" t="s">
        <v>2891</v>
      </c>
      <c r="M1154" s="266" t="s">
        <v>2928</v>
      </c>
      <c r="N1154" s="113" t="s">
        <v>66</v>
      </c>
      <c r="O1154" s="113"/>
      <c r="P1154" s="113"/>
      <c r="Q1154" s="113">
        <v>31862.04</v>
      </c>
      <c r="R1154" s="113">
        <v>492269</v>
      </c>
      <c r="S1154" s="121">
        <v>252269</v>
      </c>
      <c r="T1154" s="292">
        <f t="shared" si="372"/>
        <v>240000</v>
      </c>
      <c r="U1154" s="113"/>
      <c r="V1154" s="113">
        <v>1004</v>
      </c>
      <c r="W1154" s="113">
        <v>550</v>
      </c>
      <c r="X1154" s="113"/>
      <c r="Y1154" s="113" t="s">
        <v>2669</v>
      </c>
      <c r="Z1154" s="113"/>
      <c r="AA1154" s="275"/>
      <c r="AB1154" s="113"/>
      <c r="AC1154" s="113">
        <f>1794-W1154</f>
        <v>1244</v>
      </c>
      <c r="AD1154" s="122"/>
      <c r="AE1154" s="133"/>
      <c r="AF1154" s="115"/>
      <c r="AG1154" s="133"/>
      <c r="AH1154" s="133"/>
      <c r="AI1154" s="132">
        <f t="shared" si="369"/>
        <v>255067</v>
      </c>
      <c r="AJ1154" s="132">
        <f t="shared" si="370"/>
        <v>253823</v>
      </c>
      <c r="AK1154" s="133">
        <f t="shared" si="371"/>
        <v>1244</v>
      </c>
      <c r="AL1154" s="198"/>
      <c r="AM1154" s="133" t="s">
        <v>886</v>
      </c>
      <c r="AN1154" s="246">
        <v>44865</v>
      </c>
      <c r="AO1154" s="100"/>
      <c r="AP1154" s="96"/>
      <c r="AQ1154" s="96"/>
      <c r="AR1154" s="96"/>
      <c r="AS1154" s="96"/>
      <c r="AT1154" s="96"/>
      <c r="AU1154" s="96"/>
      <c r="AV1154" s="96"/>
      <c r="AW1154" s="96"/>
      <c r="AX1154" s="96"/>
      <c r="AY1154" s="96"/>
      <c r="AZ1154" s="96"/>
      <c r="BA1154" s="96"/>
      <c r="BB1154" s="96"/>
      <c r="BC1154" s="96"/>
      <c r="BD1154" s="96"/>
      <c r="BE1154" s="96"/>
    </row>
    <row r="1155" s="97" customFormat="1" customHeight="1" spans="1:57">
      <c r="A1155" s="115" t="s">
        <v>9029</v>
      </c>
      <c r="B1155" s="111" t="s">
        <v>9030</v>
      </c>
      <c r="C1155" s="111" t="s">
        <v>9031</v>
      </c>
      <c r="D1155" s="113" t="s">
        <v>4108</v>
      </c>
      <c r="E1155" s="113">
        <v>15036171858</v>
      </c>
      <c r="F1155" s="267">
        <v>3</v>
      </c>
      <c r="G1155" s="268">
        <v>3786</v>
      </c>
      <c r="H1155" s="274">
        <v>15.4</v>
      </c>
      <c r="I1155" s="274" t="s">
        <v>2657</v>
      </c>
      <c r="J1155" s="113" t="s">
        <v>9032</v>
      </c>
      <c r="K1155" s="116">
        <v>16.13</v>
      </c>
      <c r="L1155" s="266" t="s">
        <v>3008</v>
      </c>
      <c r="M1155" s="266" t="s">
        <v>3710</v>
      </c>
      <c r="N1155" s="113" t="s">
        <v>66</v>
      </c>
      <c r="O1155" s="113"/>
      <c r="P1155" s="113"/>
      <c r="Q1155" s="113">
        <v>32133.85</v>
      </c>
      <c r="R1155" s="113">
        <v>518319</v>
      </c>
      <c r="S1155" s="121">
        <v>268319</v>
      </c>
      <c r="T1155" s="292">
        <f t="shared" si="372"/>
        <v>250000</v>
      </c>
      <c r="U1155" s="113"/>
      <c r="V1155" s="113"/>
      <c r="W1155" s="113"/>
      <c r="X1155" s="113"/>
      <c r="Y1155" s="113"/>
      <c r="Z1155" s="113"/>
      <c r="AA1155" s="275"/>
      <c r="AB1155" s="113"/>
      <c r="AC1155" s="113"/>
      <c r="AD1155" s="122"/>
      <c r="AE1155" s="133"/>
      <c r="AF1155" s="115"/>
      <c r="AG1155" s="133"/>
      <c r="AH1155" s="133"/>
      <c r="AI1155" s="132">
        <f t="shared" ref="AI1155:AI1164" si="373">S1155+U1155+V1155+W1155+X1155+AC1155+AD1155+AE1155</f>
        <v>268319</v>
      </c>
      <c r="AJ1155" s="132">
        <f t="shared" ref="AJ1155:AJ1164" si="374">S1155+U1155+V1155+W1155+X1155</f>
        <v>268319</v>
      </c>
      <c r="AK1155" s="133">
        <f t="shared" ref="AK1155:AK1164" si="375">AI1155-AJ1155</f>
        <v>0</v>
      </c>
      <c r="AL1155" s="198"/>
      <c r="AM1155" s="133" t="s">
        <v>886</v>
      </c>
      <c r="AN1155" s="246">
        <v>44865</v>
      </c>
      <c r="AO1155" s="100"/>
      <c r="AP1155" s="96"/>
      <c r="AQ1155" s="96"/>
      <c r="AR1155" s="96"/>
      <c r="AS1155" s="96"/>
      <c r="AT1155" s="96"/>
      <c r="AU1155" s="96"/>
      <c r="AV1155" s="96"/>
      <c r="AW1155" s="96"/>
      <c r="AX1155" s="96"/>
      <c r="AY1155" s="96"/>
      <c r="AZ1155" s="96"/>
      <c r="BA1155" s="96"/>
      <c r="BB1155" s="96"/>
      <c r="BC1155" s="96"/>
      <c r="BD1155" s="96"/>
      <c r="BE1155" s="96"/>
    </row>
    <row r="1156" s="97" customFormat="1" customHeight="1" spans="1:57">
      <c r="A1156" s="115" t="s">
        <v>9033</v>
      </c>
      <c r="B1156" s="111" t="s">
        <v>9034</v>
      </c>
      <c r="C1156" s="111" t="s">
        <v>9035</v>
      </c>
      <c r="D1156" s="113" t="s">
        <v>9036</v>
      </c>
      <c r="E1156" s="113">
        <v>18539968233</v>
      </c>
      <c r="F1156" s="267">
        <v>3</v>
      </c>
      <c r="G1156" s="268" t="s">
        <v>9037</v>
      </c>
      <c r="H1156" s="274">
        <v>19.47</v>
      </c>
      <c r="I1156" s="274" t="s">
        <v>2657</v>
      </c>
      <c r="J1156" s="113" t="s">
        <v>9038</v>
      </c>
      <c r="K1156" s="116">
        <v>18.69</v>
      </c>
      <c r="L1156" s="266" t="s">
        <v>4270</v>
      </c>
      <c r="M1156" s="266" t="s">
        <v>4270</v>
      </c>
      <c r="N1156" s="113" t="s">
        <v>56</v>
      </c>
      <c r="O1156" s="113"/>
      <c r="P1156" s="113"/>
      <c r="Q1156" s="113">
        <v>31032.64</v>
      </c>
      <c r="R1156" s="113">
        <v>580000</v>
      </c>
      <c r="S1156" s="121">
        <v>580000</v>
      </c>
      <c r="T1156" s="292">
        <f t="shared" si="372"/>
        <v>0</v>
      </c>
      <c r="U1156" s="113"/>
      <c r="V1156" s="113"/>
      <c r="W1156" s="113"/>
      <c r="X1156" s="113"/>
      <c r="Y1156" s="113"/>
      <c r="Z1156" s="113"/>
      <c r="AA1156" s="275"/>
      <c r="AB1156" s="113"/>
      <c r="AC1156" s="113"/>
      <c r="AD1156" s="122"/>
      <c r="AE1156" s="133"/>
      <c r="AF1156" s="115"/>
      <c r="AG1156" s="133"/>
      <c r="AH1156" s="133"/>
      <c r="AI1156" s="132">
        <f t="shared" si="373"/>
        <v>580000</v>
      </c>
      <c r="AJ1156" s="132">
        <f t="shared" si="374"/>
        <v>580000</v>
      </c>
      <c r="AK1156" s="133">
        <f t="shared" si="375"/>
        <v>0</v>
      </c>
      <c r="AL1156" s="198"/>
      <c r="AM1156" s="133" t="s">
        <v>886</v>
      </c>
      <c r="AN1156" s="246">
        <v>44865</v>
      </c>
      <c r="AO1156" s="100"/>
      <c r="AP1156" s="96"/>
      <c r="AQ1156" s="96"/>
      <c r="AR1156" s="96"/>
      <c r="AS1156" s="96"/>
      <c r="AT1156" s="96"/>
      <c r="AU1156" s="96"/>
      <c r="AV1156" s="96"/>
      <c r="AW1156" s="96"/>
      <c r="AX1156" s="96"/>
      <c r="AY1156" s="96"/>
      <c r="AZ1156" s="96"/>
      <c r="BA1156" s="96"/>
      <c r="BB1156" s="96"/>
      <c r="BC1156" s="96"/>
      <c r="BD1156" s="96"/>
      <c r="BE1156" s="96"/>
    </row>
    <row r="1157" s="97" customFormat="1" customHeight="1" spans="1:57">
      <c r="A1157" s="115" t="s">
        <v>9039</v>
      </c>
      <c r="B1157" s="111" t="s">
        <v>9040</v>
      </c>
      <c r="C1157" s="111" t="s">
        <v>9041</v>
      </c>
      <c r="D1157" s="113" t="s">
        <v>9042</v>
      </c>
      <c r="E1157" s="113">
        <v>15890050156</v>
      </c>
      <c r="F1157" s="267">
        <v>3</v>
      </c>
      <c r="G1157" s="268">
        <v>3742</v>
      </c>
      <c r="H1157" s="274">
        <v>23.36</v>
      </c>
      <c r="I1157" s="274" t="s">
        <v>2657</v>
      </c>
      <c r="J1157" s="113" t="s">
        <v>9043</v>
      </c>
      <c r="K1157" s="116">
        <v>17.91</v>
      </c>
      <c r="L1157" s="266" t="s">
        <v>2746</v>
      </c>
      <c r="M1157" s="266" t="s">
        <v>2868</v>
      </c>
      <c r="N1157" s="113" t="s">
        <v>66</v>
      </c>
      <c r="O1157" s="113"/>
      <c r="P1157" s="113"/>
      <c r="Q1157" s="113">
        <v>32088.5</v>
      </c>
      <c r="R1157" s="113">
        <v>574705</v>
      </c>
      <c r="S1157" s="121">
        <v>294705</v>
      </c>
      <c r="T1157" s="292">
        <f t="shared" si="372"/>
        <v>280000</v>
      </c>
      <c r="U1157" s="113"/>
      <c r="V1157" s="113"/>
      <c r="W1157" s="113"/>
      <c r="X1157" s="113"/>
      <c r="Y1157" s="113"/>
      <c r="Z1157" s="113"/>
      <c r="AA1157" s="275"/>
      <c r="AB1157" s="113"/>
      <c r="AC1157" s="113"/>
      <c r="AD1157" s="122"/>
      <c r="AE1157" s="133"/>
      <c r="AF1157" s="115"/>
      <c r="AG1157" s="133"/>
      <c r="AH1157" s="133"/>
      <c r="AI1157" s="132">
        <f t="shared" si="373"/>
        <v>294705</v>
      </c>
      <c r="AJ1157" s="132">
        <f t="shared" si="374"/>
        <v>294705</v>
      </c>
      <c r="AK1157" s="133">
        <f t="shared" si="375"/>
        <v>0</v>
      </c>
      <c r="AL1157" s="198"/>
      <c r="AM1157" s="133" t="s">
        <v>886</v>
      </c>
      <c r="AN1157" s="246">
        <v>44865</v>
      </c>
      <c r="AO1157" s="100"/>
      <c r="AP1157" s="96"/>
      <c r="AQ1157" s="96"/>
      <c r="AR1157" s="96"/>
      <c r="AS1157" s="96"/>
      <c r="AT1157" s="96"/>
      <c r="AU1157" s="96"/>
      <c r="AV1157" s="96"/>
      <c r="AW1157" s="96"/>
      <c r="AX1157" s="96"/>
      <c r="AY1157" s="96"/>
      <c r="AZ1157" s="96"/>
      <c r="BA1157" s="96"/>
      <c r="BB1157" s="96"/>
      <c r="BC1157" s="96"/>
      <c r="BD1157" s="96"/>
      <c r="BE1157" s="96"/>
    </row>
    <row r="1158" s="97" customFormat="1" customHeight="1" spans="1:57">
      <c r="A1158" s="115" t="s">
        <v>9044</v>
      </c>
      <c r="B1158" s="111" t="s">
        <v>9045</v>
      </c>
      <c r="C1158" s="111" t="s">
        <v>9046</v>
      </c>
      <c r="D1158" s="113" t="s">
        <v>9047</v>
      </c>
      <c r="E1158" s="113">
        <v>13838025222</v>
      </c>
      <c r="F1158" s="267">
        <v>3</v>
      </c>
      <c r="G1158" s="268">
        <v>3739</v>
      </c>
      <c r="H1158" s="274">
        <v>15.45</v>
      </c>
      <c r="I1158" s="274" t="s">
        <v>2657</v>
      </c>
      <c r="J1158" s="113" t="s">
        <v>9048</v>
      </c>
      <c r="K1158" s="116">
        <v>15.03</v>
      </c>
      <c r="L1158" s="266" t="s">
        <v>9049</v>
      </c>
      <c r="M1158" s="266" t="s">
        <v>3055</v>
      </c>
      <c r="N1158" s="113" t="s">
        <v>2677</v>
      </c>
      <c r="O1158" s="113"/>
      <c r="P1158" s="113"/>
      <c r="Q1158" s="113">
        <v>32160.68</v>
      </c>
      <c r="R1158" s="113">
        <v>483375</v>
      </c>
      <c r="S1158" s="121">
        <v>303375</v>
      </c>
      <c r="T1158" s="292">
        <f t="shared" si="372"/>
        <v>180000</v>
      </c>
      <c r="U1158" s="113"/>
      <c r="V1158" s="113"/>
      <c r="W1158" s="113"/>
      <c r="X1158" s="113"/>
      <c r="Y1158" s="113"/>
      <c r="Z1158" s="113"/>
      <c r="AA1158" s="275"/>
      <c r="AB1158" s="113"/>
      <c r="AC1158" s="113"/>
      <c r="AD1158" s="122"/>
      <c r="AE1158" s="133"/>
      <c r="AF1158" s="115"/>
      <c r="AG1158" s="133"/>
      <c r="AH1158" s="133"/>
      <c r="AI1158" s="132">
        <f t="shared" si="373"/>
        <v>303375</v>
      </c>
      <c r="AJ1158" s="132">
        <f t="shared" si="374"/>
        <v>303375</v>
      </c>
      <c r="AK1158" s="133">
        <f t="shared" si="375"/>
        <v>0</v>
      </c>
      <c r="AL1158" s="198"/>
      <c r="AM1158" s="133" t="s">
        <v>886</v>
      </c>
      <c r="AN1158" s="246">
        <v>44865</v>
      </c>
      <c r="AO1158" s="100"/>
      <c r="AP1158" s="96"/>
      <c r="AQ1158" s="96"/>
      <c r="AR1158" s="96"/>
      <c r="AS1158" s="96"/>
      <c r="AT1158" s="96"/>
      <c r="AU1158" s="96"/>
      <c r="AV1158" s="96"/>
      <c r="AW1158" s="96"/>
      <c r="AX1158" s="96"/>
      <c r="AY1158" s="96"/>
      <c r="AZ1158" s="96"/>
      <c r="BA1158" s="96"/>
      <c r="BB1158" s="96"/>
      <c r="BC1158" s="96"/>
      <c r="BD1158" s="96"/>
      <c r="BE1158" s="96"/>
    </row>
    <row r="1159" s="97" customFormat="1" customHeight="1" spans="1:57">
      <c r="A1159" s="115" t="s">
        <v>9050</v>
      </c>
      <c r="B1159" s="111" t="s">
        <v>9051</v>
      </c>
      <c r="C1159" s="111" t="s">
        <v>9052</v>
      </c>
      <c r="D1159" s="113"/>
      <c r="E1159" s="113">
        <v>13699861693</v>
      </c>
      <c r="F1159" s="267">
        <v>3</v>
      </c>
      <c r="G1159" s="268">
        <v>3883</v>
      </c>
      <c r="H1159" s="274">
        <v>22.67</v>
      </c>
      <c r="I1159" s="274" t="s">
        <v>2657</v>
      </c>
      <c r="J1159" s="113" t="s">
        <v>9053</v>
      </c>
      <c r="K1159" s="116">
        <v>21.25</v>
      </c>
      <c r="L1159" s="266" t="s">
        <v>2920</v>
      </c>
      <c r="M1159" s="266"/>
      <c r="N1159" s="113" t="s">
        <v>66</v>
      </c>
      <c r="O1159" s="113"/>
      <c r="P1159" s="113"/>
      <c r="Q1159" s="113"/>
      <c r="R1159" s="113"/>
      <c r="S1159" s="121">
        <v>20000</v>
      </c>
      <c r="T1159" s="292">
        <f t="shared" si="372"/>
        <v>-20000</v>
      </c>
      <c r="U1159" s="113"/>
      <c r="V1159" s="113"/>
      <c r="W1159" s="113"/>
      <c r="X1159" s="113"/>
      <c r="Y1159" s="113"/>
      <c r="Z1159" s="113"/>
      <c r="AA1159" s="275"/>
      <c r="AB1159" s="113"/>
      <c r="AC1159" s="113"/>
      <c r="AD1159" s="122"/>
      <c r="AE1159" s="133"/>
      <c r="AF1159" s="115"/>
      <c r="AG1159" s="133"/>
      <c r="AH1159" s="133"/>
      <c r="AI1159" s="132">
        <f t="shared" si="373"/>
        <v>20000</v>
      </c>
      <c r="AJ1159" s="132">
        <f t="shared" si="374"/>
        <v>20000</v>
      </c>
      <c r="AK1159" s="133">
        <f t="shared" si="375"/>
        <v>0</v>
      </c>
      <c r="AL1159" s="198" t="s">
        <v>9054</v>
      </c>
      <c r="AM1159" s="133" t="s">
        <v>886</v>
      </c>
      <c r="AN1159" s="246">
        <v>44865</v>
      </c>
      <c r="AO1159" s="100"/>
      <c r="AP1159" s="96"/>
      <c r="AQ1159" s="96"/>
      <c r="AR1159" s="96"/>
      <c r="AS1159" s="96"/>
      <c r="AT1159" s="96"/>
      <c r="AU1159" s="96"/>
      <c r="AV1159" s="96"/>
      <c r="AW1159" s="96"/>
      <c r="AX1159" s="96"/>
      <c r="AY1159" s="96"/>
      <c r="AZ1159" s="96"/>
      <c r="BA1159" s="96"/>
      <c r="BB1159" s="96"/>
      <c r="BC1159" s="96"/>
      <c r="BD1159" s="96"/>
      <c r="BE1159" s="96"/>
    </row>
    <row r="1160" s="97" customFormat="1" customHeight="1" spans="1:57">
      <c r="A1160" s="115" t="s">
        <v>9055</v>
      </c>
      <c r="B1160" s="111" t="s">
        <v>9056</v>
      </c>
      <c r="C1160" s="554" t="s">
        <v>9057</v>
      </c>
      <c r="D1160" s="113" t="s">
        <v>9058</v>
      </c>
      <c r="E1160" s="113">
        <v>13603713692</v>
      </c>
      <c r="F1160" s="267">
        <v>4</v>
      </c>
      <c r="G1160" s="268">
        <v>4448</v>
      </c>
      <c r="H1160" s="274">
        <v>9.81</v>
      </c>
      <c r="I1160" s="274" t="s">
        <v>2657</v>
      </c>
      <c r="J1160" s="113" t="s">
        <v>9059</v>
      </c>
      <c r="K1160" s="116">
        <v>9.22</v>
      </c>
      <c r="L1160" s="266" t="s">
        <v>4567</v>
      </c>
      <c r="M1160" s="266" t="s">
        <v>3218</v>
      </c>
      <c r="N1160" s="113" t="s">
        <v>56</v>
      </c>
      <c r="O1160" s="113"/>
      <c r="P1160" s="113"/>
      <c r="Q1160" s="113">
        <v>27127.22</v>
      </c>
      <c r="R1160" s="113">
        <v>250113</v>
      </c>
      <c r="S1160" s="121">
        <v>250113</v>
      </c>
      <c r="T1160" s="292">
        <f t="shared" si="372"/>
        <v>0</v>
      </c>
      <c r="U1160" s="113"/>
      <c r="V1160" s="113"/>
      <c r="W1160" s="113"/>
      <c r="X1160" s="113"/>
      <c r="Y1160" s="113"/>
      <c r="Z1160" s="113"/>
      <c r="AA1160" s="275"/>
      <c r="AB1160" s="113"/>
      <c r="AC1160" s="113"/>
      <c r="AD1160" s="122"/>
      <c r="AE1160" s="133"/>
      <c r="AF1160" s="115"/>
      <c r="AG1160" s="133"/>
      <c r="AH1160" s="133"/>
      <c r="AI1160" s="132">
        <f t="shared" si="373"/>
        <v>250113</v>
      </c>
      <c r="AJ1160" s="132">
        <f t="shared" si="374"/>
        <v>250113</v>
      </c>
      <c r="AK1160" s="133">
        <f t="shared" si="375"/>
        <v>0</v>
      </c>
      <c r="AL1160" s="198"/>
      <c r="AM1160" s="133" t="s">
        <v>886</v>
      </c>
      <c r="AN1160" s="246">
        <v>44865</v>
      </c>
      <c r="AO1160" s="100"/>
      <c r="AP1160" s="96"/>
      <c r="AQ1160" s="96"/>
      <c r="AR1160" s="96"/>
      <c r="AS1160" s="96"/>
      <c r="AT1160" s="96"/>
      <c r="AU1160" s="96"/>
      <c r="AV1160" s="96"/>
      <c r="AW1160" s="96"/>
      <c r="AX1160" s="96"/>
      <c r="AY1160" s="96"/>
      <c r="AZ1160" s="96"/>
      <c r="BA1160" s="96"/>
      <c r="BB1160" s="96"/>
      <c r="BC1160" s="96"/>
      <c r="BD1160" s="96"/>
      <c r="BE1160" s="96"/>
    </row>
    <row r="1161" s="97" customFormat="1" customHeight="1" spans="1:57">
      <c r="A1161" s="115" t="s">
        <v>9060</v>
      </c>
      <c r="B1161" s="111" t="s">
        <v>9061</v>
      </c>
      <c r="C1161" s="111" t="s">
        <v>9062</v>
      </c>
      <c r="D1161" s="113" t="s">
        <v>9063</v>
      </c>
      <c r="E1161" s="113">
        <v>18638558551</v>
      </c>
      <c r="F1161" s="267">
        <v>3</v>
      </c>
      <c r="G1161" s="268">
        <v>3757</v>
      </c>
      <c r="H1161" s="274">
        <v>10.82</v>
      </c>
      <c r="I1161" s="274" t="s">
        <v>2657</v>
      </c>
      <c r="J1161" s="113" t="s">
        <v>9064</v>
      </c>
      <c r="K1161" s="116">
        <v>9.1</v>
      </c>
      <c r="L1161" s="266" t="s">
        <v>2868</v>
      </c>
      <c r="M1161" s="266" t="s">
        <v>4055</v>
      </c>
      <c r="N1161" s="113" t="s">
        <v>56</v>
      </c>
      <c r="O1161" s="113"/>
      <c r="P1161" s="113"/>
      <c r="Q1161" s="113">
        <v>32408.79</v>
      </c>
      <c r="R1161" s="113">
        <v>294920</v>
      </c>
      <c r="S1161" s="121">
        <v>294920</v>
      </c>
      <c r="T1161" s="292">
        <f t="shared" si="372"/>
        <v>0</v>
      </c>
      <c r="U1161" s="113"/>
      <c r="V1161" s="113"/>
      <c r="W1161" s="113"/>
      <c r="X1161" s="113"/>
      <c r="Y1161" s="113"/>
      <c r="Z1161" s="113"/>
      <c r="AA1161" s="275"/>
      <c r="AB1161" s="113"/>
      <c r="AC1161" s="113"/>
      <c r="AD1161" s="122"/>
      <c r="AE1161" s="133"/>
      <c r="AF1161" s="115"/>
      <c r="AG1161" s="133"/>
      <c r="AH1161" s="133"/>
      <c r="AI1161" s="132">
        <f t="shared" si="373"/>
        <v>294920</v>
      </c>
      <c r="AJ1161" s="132">
        <f t="shared" si="374"/>
        <v>294920</v>
      </c>
      <c r="AK1161" s="133">
        <f t="shared" si="375"/>
        <v>0</v>
      </c>
      <c r="AL1161" s="198"/>
      <c r="AM1161" s="133" t="s">
        <v>886</v>
      </c>
      <c r="AN1161" s="246">
        <v>44865</v>
      </c>
      <c r="AO1161" s="100"/>
      <c r="AP1161" s="93"/>
      <c r="AQ1161" s="93"/>
      <c r="AR1161" s="93"/>
      <c r="AS1161" s="93"/>
      <c r="AT1161" s="93"/>
      <c r="AU1161" s="93"/>
      <c r="AV1161" s="93"/>
      <c r="AW1161" s="93"/>
      <c r="AX1161" s="93"/>
      <c r="AY1161" s="93"/>
      <c r="AZ1161" s="93"/>
      <c r="BA1161" s="93"/>
      <c r="BB1161" s="93"/>
      <c r="BC1161" s="93"/>
      <c r="BD1161" s="93"/>
      <c r="BE1161" s="93"/>
    </row>
    <row r="1162" s="97" customFormat="1" customHeight="1" spans="1:57">
      <c r="A1162" s="115" t="s">
        <v>9065</v>
      </c>
      <c r="B1162" s="111" t="s">
        <v>9066</v>
      </c>
      <c r="C1162" s="554" t="s">
        <v>9067</v>
      </c>
      <c r="D1162" s="113" t="s">
        <v>9068</v>
      </c>
      <c r="E1162" s="113">
        <v>13592629646</v>
      </c>
      <c r="F1162" s="267">
        <v>4</v>
      </c>
      <c r="G1162" s="268">
        <v>4490</v>
      </c>
      <c r="H1162" s="274">
        <v>16.53</v>
      </c>
      <c r="I1162" s="274" t="s">
        <v>2657</v>
      </c>
      <c r="J1162" s="113" t="s">
        <v>9069</v>
      </c>
      <c r="K1162" s="116">
        <v>15</v>
      </c>
      <c r="L1162" s="266" t="s">
        <v>3408</v>
      </c>
      <c r="M1162" s="266" t="s">
        <v>4691</v>
      </c>
      <c r="N1162" s="113" t="s">
        <v>66</v>
      </c>
      <c r="O1162" s="113"/>
      <c r="P1162" s="113"/>
      <c r="Q1162" s="113">
        <v>26034.93</v>
      </c>
      <c r="R1162" s="113">
        <v>430357</v>
      </c>
      <c r="S1162" s="121">
        <v>220357</v>
      </c>
      <c r="T1162" s="292"/>
      <c r="U1162" s="113">
        <v>210000</v>
      </c>
      <c r="V1162" s="113">
        <v>1074</v>
      </c>
      <c r="W1162" s="113">
        <v>550</v>
      </c>
      <c r="X1162" s="113"/>
      <c r="Y1162" s="113" t="s">
        <v>2669</v>
      </c>
      <c r="Z1162" s="113" t="s">
        <v>48</v>
      </c>
      <c r="AA1162" s="275">
        <v>44023</v>
      </c>
      <c r="AB1162" s="113"/>
      <c r="AC1162" s="113">
        <v>1241</v>
      </c>
      <c r="AD1162" s="122"/>
      <c r="AE1162" s="133"/>
      <c r="AF1162" s="115"/>
      <c r="AG1162" s="133"/>
      <c r="AH1162" s="133"/>
      <c r="AI1162" s="132">
        <f t="shared" si="373"/>
        <v>433222</v>
      </c>
      <c r="AJ1162" s="132">
        <f t="shared" si="374"/>
        <v>431981</v>
      </c>
      <c r="AK1162" s="133">
        <f t="shared" si="375"/>
        <v>1241</v>
      </c>
      <c r="AL1162" s="198"/>
      <c r="AM1162" s="133" t="s">
        <v>886</v>
      </c>
      <c r="AN1162" s="246">
        <v>44865</v>
      </c>
      <c r="AO1162" s="100"/>
      <c r="AP1162" s="96"/>
      <c r="AQ1162" s="96"/>
      <c r="AR1162" s="96"/>
      <c r="AS1162" s="96"/>
      <c r="AT1162" s="96"/>
      <c r="AU1162" s="96"/>
      <c r="AV1162" s="96"/>
      <c r="AW1162" s="96"/>
      <c r="AX1162" s="96"/>
      <c r="AY1162" s="96"/>
      <c r="AZ1162" s="96"/>
      <c r="BA1162" s="96"/>
      <c r="BB1162" s="96"/>
      <c r="BC1162" s="96"/>
      <c r="BD1162" s="96"/>
      <c r="BE1162" s="96"/>
    </row>
    <row r="1163" s="97" customFormat="1" customHeight="1" spans="1:57">
      <c r="A1163" s="115" t="s">
        <v>9070</v>
      </c>
      <c r="B1163" s="111" t="s">
        <v>9071</v>
      </c>
      <c r="C1163" s="554" t="s">
        <v>9072</v>
      </c>
      <c r="D1163" s="113" t="s">
        <v>9073</v>
      </c>
      <c r="E1163" s="113">
        <v>13283882999</v>
      </c>
      <c r="F1163" s="267">
        <v>4</v>
      </c>
      <c r="G1163" s="268">
        <v>4173</v>
      </c>
      <c r="H1163" s="274">
        <v>46.97</v>
      </c>
      <c r="I1163" s="274" t="s">
        <v>2657</v>
      </c>
      <c r="J1163" s="113" t="s">
        <v>9074</v>
      </c>
      <c r="K1163" s="116">
        <v>35.32</v>
      </c>
      <c r="L1163" s="266" t="s">
        <v>2968</v>
      </c>
      <c r="M1163" s="266" t="s">
        <v>2739</v>
      </c>
      <c r="N1163" s="113" t="s">
        <v>56</v>
      </c>
      <c r="O1163" s="113"/>
      <c r="P1163" s="113"/>
      <c r="Q1163" s="113">
        <v>24818.23</v>
      </c>
      <c r="R1163" s="113">
        <v>876580</v>
      </c>
      <c r="S1163" s="121">
        <v>876580</v>
      </c>
      <c r="T1163" s="292">
        <f>R1163-S1163</f>
        <v>0</v>
      </c>
      <c r="U1163" s="113"/>
      <c r="V1163" s="113"/>
      <c r="W1163" s="113"/>
      <c r="X1163" s="113"/>
      <c r="Y1163" s="113"/>
      <c r="Z1163" s="113"/>
      <c r="AA1163" s="275"/>
      <c r="AB1163" s="113"/>
      <c r="AC1163" s="113"/>
      <c r="AD1163" s="122"/>
      <c r="AE1163" s="133"/>
      <c r="AF1163" s="115"/>
      <c r="AG1163" s="133"/>
      <c r="AH1163" s="133"/>
      <c r="AI1163" s="132">
        <f t="shared" si="373"/>
        <v>876580</v>
      </c>
      <c r="AJ1163" s="132">
        <f t="shared" si="374"/>
        <v>876580</v>
      </c>
      <c r="AK1163" s="133">
        <f t="shared" si="375"/>
        <v>0</v>
      </c>
      <c r="AL1163" s="198"/>
      <c r="AM1163" s="133" t="s">
        <v>886</v>
      </c>
      <c r="AN1163" s="246">
        <v>44865</v>
      </c>
      <c r="AO1163" s="100"/>
      <c r="AP1163" s="96"/>
      <c r="AQ1163" s="96"/>
      <c r="AR1163" s="96"/>
      <c r="AS1163" s="96"/>
      <c r="AT1163" s="96"/>
      <c r="AU1163" s="96"/>
      <c r="AV1163" s="96"/>
      <c r="AW1163" s="96"/>
      <c r="AX1163" s="96"/>
      <c r="AY1163" s="96"/>
      <c r="AZ1163" s="96"/>
      <c r="BA1163" s="96"/>
      <c r="BB1163" s="96"/>
      <c r="BC1163" s="96"/>
      <c r="BD1163" s="96"/>
      <c r="BE1163" s="96"/>
    </row>
    <row r="1164" s="97" customFormat="1" customHeight="1" spans="1:57">
      <c r="A1164" s="115" t="s">
        <v>9075</v>
      </c>
      <c r="B1164" s="111" t="s">
        <v>9076</v>
      </c>
      <c r="C1164" s="554" t="s">
        <v>9077</v>
      </c>
      <c r="D1164" s="113" t="s">
        <v>9078</v>
      </c>
      <c r="E1164" s="113">
        <v>18236962383</v>
      </c>
      <c r="F1164" s="267">
        <v>4</v>
      </c>
      <c r="G1164" s="268">
        <v>4454</v>
      </c>
      <c r="H1164" s="274">
        <v>11.36</v>
      </c>
      <c r="I1164" s="274" t="s">
        <v>2657</v>
      </c>
      <c r="J1164" s="113" t="s">
        <v>9079</v>
      </c>
      <c r="K1164" s="116">
        <v>10.27</v>
      </c>
      <c r="L1164" s="266" t="s">
        <v>5380</v>
      </c>
      <c r="M1164" s="266" t="s">
        <v>4715</v>
      </c>
      <c r="N1164" s="113" t="s">
        <v>66</v>
      </c>
      <c r="O1164" s="113"/>
      <c r="P1164" s="113"/>
      <c r="Q1164" s="113">
        <v>28237.59</v>
      </c>
      <c r="R1164" s="113">
        <v>290000</v>
      </c>
      <c r="S1164" s="121">
        <v>150000</v>
      </c>
      <c r="T1164" s="292">
        <f>R1164-S1164</f>
        <v>140000</v>
      </c>
      <c r="U1164" s="113"/>
      <c r="V1164" s="113"/>
      <c r="W1164" s="113"/>
      <c r="X1164" s="113"/>
      <c r="Y1164" s="113"/>
      <c r="Z1164" s="113"/>
      <c r="AA1164" s="275"/>
      <c r="AB1164" s="113"/>
      <c r="AC1164" s="113"/>
      <c r="AD1164" s="122"/>
      <c r="AE1164" s="133"/>
      <c r="AF1164" s="115"/>
      <c r="AG1164" s="133"/>
      <c r="AH1164" s="133"/>
      <c r="AI1164" s="132">
        <f t="shared" si="373"/>
        <v>150000</v>
      </c>
      <c r="AJ1164" s="132">
        <f t="shared" si="374"/>
        <v>150000</v>
      </c>
      <c r="AK1164" s="133">
        <f t="shared" si="375"/>
        <v>0</v>
      </c>
      <c r="AL1164" s="198"/>
      <c r="AM1164" s="133" t="s">
        <v>886</v>
      </c>
      <c r="AN1164" s="246">
        <v>44865</v>
      </c>
      <c r="AO1164" s="100"/>
      <c r="AP1164" s="96"/>
      <c r="AQ1164" s="96"/>
      <c r="AR1164" s="96"/>
      <c r="AS1164" s="96"/>
      <c r="AT1164" s="96"/>
      <c r="AU1164" s="96"/>
      <c r="AV1164" s="96"/>
      <c r="AW1164" s="96"/>
      <c r="AX1164" s="96"/>
      <c r="AY1164" s="96"/>
      <c r="AZ1164" s="96"/>
      <c r="BA1164" s="96"/>
      <c r="BB1164" s="96"/>
      <c r="BC1164" s="96"/>
      <c r="BD1164" s="96"/>
      <c r="BE1164" s="96"/>
    </row>
    <row r="1165" s="97" customFormat="1" customHeight="1" spans="1:57">
      <c r="A1165" s="115" t="s">
        <v>9080</v>
      </c>
      <c r="B1165" s="111" t="s">
        <v>9081</v>
      </c>
      <c r="C1165" s="554" t="s">
        <v>9082</v>
      </c>
      <c r="D1165" s="113" t="s">
        <v>9083</v>
      </c>
      <c r="E1165" s="113">
        <v>13223095069</v>
      </c>
      <c r="F1165" s="267">
        <v>4</v>
      </c>
      <c r="G1165" s="268">
        <v>4449</v>
      </c>
      <c r="H1165" s="274">
        <v>9.81</v>
      </c>
      <c r="I1165" s="274" t="s">
        <v>2657</v>
      </c>
      <c r="J1165" s="113" t="s">
        <v>9084</v>
      </c>
      <c r="K1165" s="116">
        <v>8.07</v>
      </c>
      <c r="L1165" s="266" t="s">
        <v>4567</v>
      </c>
      <c r="M1165" s="266" t="s">
        <v>3665</v>
      </c>
      <c r="N1165" s="113" t="s">
        <v>56</v>
      </c>
      <c r="O1165" s="113"/>
      <c r="P1165" s="113"/>
      <c r="Q1165" s="113">
        <v>27127.14</v>
      </c>
      <c r="R1165" s="113">
        <v>218916</v>
      </c>
      <c r="S1165" s="121">
        <v>218916</v>
      </c>
      <c r="T1165" s="292">
        <f>R1165-S1165</f>
        <v>0</v>
      </c>
      <c r="U1165" s="113"/>
      <c r="V1165" s="113"/>
      <c r="W1165" s="113"/>
      <c r="X1165" s="113"/>
      <c r="Y1165" s="113"/>
      <c r="Z1165" s="113"/>
      <c r="AA1165" s="275"/>
      <c r="AB1165" s="113"/>
      <c r="AC1165" s="113"/>
      <c r="AD1165" s="122"/>
      <c r="AE1165" s="133"/>
      <c r="AF1165" s="115"/>
      <c r="AG1165" s="133"/>
      <c r="AH1165" s="133"/>
      <c r="AI1165" s="132">
        <f t="shared" ref="AI1165:AI1174" si="376">S1165+U1165+V1165+W1165+X1165+AC1165+AD1165+AE1165</f>
        <v>218916</v>
      </c>
      <c r="AJ1165" s="132">
        <f t="shared" ref="AJ1165:AJ1174" si="377">S1165+U1165+V1165+W1165+X1165</f>
        <v>218916</v>
      </c>
      <c r="AK1165" s="133">
        <f t="shared" ref="AK1165:AK1174" si="378">AI1165-AJ1165</f>
        <v>0</v>
      </c>
      <c r="AL1165" s="198"/>
      <c r="AM1165" s="133" t="s">
        <v>886</v>
      </c>
      <c r="AN1165" s="246">
        <v>44865</v>
      </c>
      <c r="AO1165" s="100"/>
      <c r="AP1165" s="96"/>
      <c r="AQ1165" s="96"/>
      <c r="AR1165" s="96"/>
      <c r="AS1165" s="96"/>
      <c r="AT1165" s="96"/>
      <c r="AU1165" s="96"/>
      <c r="AV1165" s="96"/>
      <c r="AW1165" s="96"/>
      <c r="AX1165" s="96"/>
      <c r="AY1165" s="96"/>
      <c r="AZ1165" s="96"/>
      <c r="BA1165" s="96"/>
      <c r="BB1165" s="96"/>
      <c r="BC1165" s="96"/>
      <c r="BD1165" s="96"/>
      <c r="BE1165" s="96"/>
    </row>
    <row r="1166" s="97" customFormat="1" customHeight="1" spans="1:57">
      <c r="A1166" s="115" t="s">
        <v>9085</v>
      </c>
      <c r="B1166" s="111" t="s">
        <v>9086</v>
      </c>
      <c r="C1166" s="554" t="s">
        <v>9087</v>
      </c>
      <c r="D1166" s="113" t="s">
        <v>9088</v>
      </c>
      <c r="E1166" s="113">
        <v>13608681726</v>
      </c>
      <c r="F1166" s="267">
        <v>4</v>
      </c>
      <c r="G1166" s="268">
        <v>4416</v>
      </c>
      <c r="H1166" s="274">
        <v>25.92</v>
      </c>
      <c r="I1166" s="274" t="s">
        <v>2657</v>
      </c>
      <c r="J1166" s="113" t="s">
        <v>9089</v>
      </c>
      <c r="K1166" s="116">
        <v>18.21</v>
      </c>
      <c r="L1166" s="266" t="s">
        <v>4112</v>
      </c>
      <c r="M1166" s="266" t="s">
        <v>4105</v>
      </c>
      <c r="N1166" s="113" t="s">
        <v>66</v>
      </c>
      <c r="O1166" s="113"/>
      <c r="P1166" s="113"/>
      <c r="Q1166" s="113">
        <v>27236.02</v>
      </c>
      <c r="R1166" s="113">
        <v>495968</v>
      </c>
      <c r="S1166" s="121">
        <v>255968</v>
      </c>
      <c r="T1166" s="292">
        <f t="shared" ref="T1166:T1171" si="379">R1166-S1166</f>
        <v>240000</v>
      </c>
      <c r="U1166" s="113"/>
      <c r="V1166" s="113"/>
      <c r="W1166" s="113"/>
      <c r="X1166" s="113"/>
      <c r="Y1166" s="113"/>
      <c r="Z1166" s="113"/>
      <c r="AA1166" s="275"/>
      <c r="AB1166" s="113"/>
      <c r="AC1166" s="113"/>
      <c r="AD1166" s="122"/>
      <c r="AE1166" s="133"/>
      <c r="AF1166" s="115"/>
      <c r="AG1166" s="133"/>
      <c r="AH1166" s="133"/>
      <c r="AI1166" s="132">
        <f t="shared" si="376"/>
        <v>255968</v>
      </c>
      <c r="AJ1166" s="132">
        <f t="shared" si="377"/>
        <v>255968</v>
      </c>
      <c r="AK1166" s="133">
        <f t="shared" si="378"/>
        <v>0</v>
      </c>
      <c r="AL1166" s="198"/>
      <c r="AM1166" s="133" t="s">
        <v>886</v>
      </c>
      <c r="AN1166" s="246">
        <v>44865</v>
      </c>
      <c r="AO1166" s="100"/>
      <c r="AP1166" s="96"/>
      <c r="AQ1166" s="96"/>
      <c r="AR1166" s="96"/>
      <c r="AS1166" s="96"/>
      <c r="AT1166" s="96"/>
      <c r="AU1166" s="96"/>
      <c r="AV1166" s="96"/>
      <c r="AW1166" s="96"/>
      <c r="AX1166" s="96"/>
      <c r="AY1166" s="96"/>
      <c r="AZ1166" s="96"/>
      <c r="BA1166" s="96"/>
      <c r="BB1166" s="96"/>
      <c r="BC1166" s="96"/>
      <c r="BD1166" s="96"/>
      <c r="BE1166" s="96"/>
    </row>
    <row r="1167" s="97" customFormat="1" customHeight="1" spans="1:57">
      <c r="A1167" s="115" t="s">
        <v>9090</v>
      </c>
      <c r="B1167" s="111" t="s">
        <v>9091</v>
      </c>
      <c r="C1167" s="111" t="s">
        <v>9092</v>
      </c>
      <c r="D1167" s="113" t="s">
        <v>9093</v>
      </c>
      <c r="E1167" s="113">
        <v>13676959027</v>
      </c>
      <c r="F1167" s="267">
        <v>3</v>
      </c>
      <c r="G1167" s="268">
        <v>3363</v>
      </c>
      <c r="H1167" s="274">
        <v>18.75</v>
      </c>
      <c r="I1167" s="274" t="s">
        <v>2657</v>
      </c>
      <c r="J1167" s="113" t="s">
        <v>9094</v>
      </c>
      <c r="K1167" s="116">
        <v>16.64</v>
      </c>
      <c r="L1167" s="266" t="s">
        <v>2740</v>
      </c>
      <c r="M1167" s="266"/>
      <c r="N1167" s="113" t="s">
        <v>66</v>
      </c>
      <c r="O1167" s="113"/>
      <c r="P1167" s="113"/>
      <c r="Q1167" s="113"/>
      <c r="R1167" s="113"/>
      <c r="S1167" s="121">
        <v>20000</v>
      </c>
      <c r="T1167" s="292">
        <f t="shared" si="379"/>
        <v>-20000</v>
      </c>
      <c r="U1167" s="113"/>
      <c r="V1167" s="113"/>
      <c r="W1167" s="113"/>
      <c r="X1167" s="113"/>
      <c r="Y1167" s="113"/>
      <c r="Z1167" s="113"/>
      <c r="AA1167" s="275"/>
      <c r="AB1167" s="113"/>
      <c r="AC1167" s="113"/>
      <c r="AD1167" s="122"/>
      <c r="AE1167" s="133"/>
      <c r="AF1167" s="115"/>
      <c r="AG1167" s="133"/>
      <c r="AH1167" s="133"/>
      <c r="AI1167" s="132">
        <f t="shared" si="376"/>
        <v>20000</v>
      </c>
      <c r="AJ1167" s="132">
        <f t="shared" si="377"/>
        <v>20000</v>
      </c>
      <c r="AK1167" s="133">
        <f t="shared" si="378"/>
        <v>0</v>
      </c>
      <c r="AL1167" s="198"/>
      <c r="AM1167" s="133" t="s">
        <v>886</v>
      </c>
      <c r="AN1167" s="246">
        <v>44865</v>
      </c>
      <c r="AO1167" s="100"/>
      <c r="AP1167" s="96"/>
      <c r="AQ1167" s="96"/>
      <c r="AR1167" s="96"/>
      <c r="AS1167" s="96"/>
      <c r="AT1167" s="96"/>
      <c r="AU1167" s="96"/>
      <c r="AV1167" s="96"/>
      <c r="AW1167" s="96"/>
      <c r="AX1167" s="96"/>
      <c r="AY1167" s="96"/>
      <c r="AZ1167" s="96"/>
      <c r="BA1167" s="96"/>
      <c r="BB1167" s="96"/>
      <c r="BC1167" s="96"/>
      <c r="BD1167" s="96"/>
      <c r="BE1167" s="96"/>
    </row>
    <row r="1168" s="97" customFormat="1" customHeight="1" spans="1:57">
      <c r="A1168" s="115" t="s">
        <v>9095</v>
      </c>
      <c r="B1168" s="111" t="s">
        <v>9096</v>
      </c>
      <c r="C1168" s="111" t="s">
        <v>9097</v>
      </c>
      <c r="D1168" s="113" t="s">
        <v>9098</v>
      </c>
      <c r="E1168" s="113">
        <v>15324916899</v>
      </c>
      <c r="F1168" s="267">
        <v>3</v>
      </c>
      <c r="G1168" s="268">
        <v>3383</v>
      </c>
      <c r="H1168" s="274">
        <v>13.39</v>
      </c>
      <c r="I1168" s="274" t="s">
        <v>2657</v>
      </c>
      <c r="J1168" s="113" t="s">
        <v>9099</v>
      </c>
      <c r="K1168" s="116">
        <v>13.36</v>
      </c>
      <c r="L1168" s="266" t="s">
        <v>3048</v>
      </c>
      <c r="M1168" s="266" t="s">
        <v>4105</v>
      </c>
      <c r="N1168" s="113" t="s">
        <v>66</v>
      </c>
      <c r="O1168" s="113"/>
      <c r="P1168" s="113"/>
      <c r="Q1168" s="113">
        <v>32866.02</v>
      </c>
      <c r="R1168" s="113">
        <v>439090</v>
      </c>
      <c r="S1168" s="121">
        <v>229090</v>
      </c>
      <c r="T1168" s="292">
        <f t="shared" si="379"/>
        <v>210000</v>
      </c>
      <c r="U1168" s="113"/>
      <c r="V1168" s="113"/>
      <c r="W1168" s="113"/>
      <c r="X1168" s="113"/>
      <c r="Y1168" s="113"/>
      <c r="Z1168" s="113"/>
      <c r="AA1168" s="275"/>
      <c r="AB1168" s="113"/>
      <c r="AC1168" s="113"/>
      <c r="AD1168" s="122"/>
      <c r="AE1168" s="133"/>
      <c r="AF1168" s="115"/>
      <c r="AG1168" s="133"/>
      <c r="AH1168" s="133"/>
      <c r="AI1168" s="132">
        <f t="shared" si="376"/>
        <v>229090</v>
      </c>
      <c r="AJ1168" s="132">
        <f t="shared" si="377"/>
        <v>229090</v>
      </c>
      <c r="AK1168" s="133">
        <f t="shared" si="378"/>
        <v>0</v>
      </c>
      <c r="AL1168" s="198"/>
      <c r="AM1168" s="133" t="s">
        <v>886</v>
      </c>
      <c r="AN1168" s="246">
        <v>44865</v>
      </c>
      <c r="AO1168" s="100"/>
      <c r="AP1168" s="96"/>
      <c r="AQ1168" s="96"/>
      <c r="AR1168" s="96"/>
      <c r="AS1168" s="96"/>
      <c r="AT1168" s="96"/>
      <c r="AU1168" s="96"/>
      <c r="AV1168" s="96"/>
      <c r="AW1168" s="96"/>
      <c r="AX1168" s="96"/>
      <c r="AY1168" s="96"/>
      <c r="AZ1168" s="96"/>
      <c r="BA1168" s="96"/>
      <c r="BB1168" s="96"/>
      <c r="BC1168" s="96"/>
      <c r="BD1168" s="96"/>
      <c r="BE1168" s="96"/>
    </row>
    <row r="1169" s="97" customFormat="1" customHeight="1" spans="1:57">
      <c r="A1169" s="106" t="s">
        <v>9100</v>
      </c>
      <c r="B1169" s="111" t="s">
        <v>9101</v>
      </c>
      <c r="C1169" s="111" t="s">
        <v>9102</v>
      </c>
      <c r="D1169" s="113" t="s">
        <v>9103</v>
      </c>
      <c r="E1169" s="113" t="s">
        <v>9104</v>
      </c>
      <c r="F1169" s="113">
        <v>4</v>
      </c>
      <c r="G1169" s="266">
        <v>4170</v>
      </c>
      <c r="H1169" s="116">
        <v>31.37</v>
      </c>
      <c r="I1169" s="116" t="s">
        <v>2665</v>
      </c>
      <c r="J1169" s="113" t="s">
        <v>9105</v>
      </c>
      <c r="K1169" s="116">
        <v>39.95</v>
      </c>
      <c r="L1169" s="266" t="s">
        <v>4088</v>
      </c>
      <c r="M1169" s="266" t="s">
        <v>4684</v>
      </c>
      <c r="N1169" s="113" t="s">
        <v>66</v>
      </c>
      <c r="O1169" s="113"/>
      <c r="P1169" s="113"/>
      <c r="Q1169" s="113">
        <v>21986.98</v>
      </c>
      <c r="R1169" s="113">
        <v>878380</v>
      </c>
      <c r="S1169" s="121">
        <v>448380</v>
      </c>
      <c r="T1169" s="121">
        <f t="shared" si="379"/>
        <v>430000</v>
      </c>
      <c r="U1169" s="113"/>
      <c r="V1169" s="113"/>
      <c r="W1169" s="113"/>
      <c r="X1169" s="113"/>
      <c r="Y1169" s="113"/>
      <c r="Z1169" s="113"/>
      <c r="AA1169" s="275"/>
      <c r="AB1169" s="113"/>
      <c r="AC1169" s="113"/>
      <c r="AD1169" s="122"/>
      <c r="AE1169" s="129"/>
      <c r="AF1169" s="106"/>
      <c r="AG1169" s="129"/>
      <c r="AH1169" s="129"/>
      <c r="AI1169" s="132">
        <f t="shared" si="376"/>
        <v>448380</v>
      </c>
      <c r="AJ1169" s="132">
        <f t="shared" si="377"/>
        <v>448380</v>
      </c>
      <c r="AK1169" s="133">
        <f t="shared" si="378"/>
        <v>0</v>
      </c>
      <c r="AL1169" s="370" t="s">
        <v>9106</v>
      </c>
      <c r="AM1169" s="129" t="s">
        <v>886</v>
      </c>
      <c r="AN1169" s="290">
        <v>44865</v>
      </c>
      <c r="AO1169" s="100"/>
      <c r="AP1169" s="96"/>
      <c r="AQ1169" s="96"/>
      <c r="AR1169" s="96"/>
      <c r="AS1169" s="96"/>
      <c r="AT1169" s="96"/>
      <c r="AU1169" s="96"/>
      <c r="AV1169" s="96"/>
      <c r="AW1169" s="96"/>
      <c r="AX1169" s="96"/>
      <c r="AY1169" s="96"/>
      <c r="AZ1169" s="96"/>
      <c r="BA1169" s="96"/>
      <c r="BB1169" s="96"/>
      <c r="BC1169" s="96"/>
      <c r="BD1169" s="96"/>
      <c r="BE1169" s="96"/>
    </row>
    <row r="1170" s="97" customFormat="1" customHeight="1" spans="1:57">
      <c r="A1170" s="115" t="s">
        <v>9107</v>
      </c>
      <c r="B1170" s="111" t="s">
        <v>9108</v>
      </c>
      <c r="C1170" s="111" t="s">
        <v>9109</v>
      </c>
      <c r="D1170" s="113" t="s">
        <v>9110</v>
      </c>
      <c r="E1170" s="113">
        <v>13598051275</v>
      </c>
      <c r="F1170" s="267">
        <v>3</v>
      </c>
      <c r="G1170" s="268">
        <v>3627</v>
      </c>
      <c r="H1170" s="274">
        <v>20.12</v>
      </c>
      <c r="I1170" s="274" t="s">
        <v>2657</v>
      </c>
      <c r="J1170" s="113" t="s">
        <v>9111</v>
      </c>
      <c r="K1170" s="116">
        <v>19.82</v>
      </c>
      <c r="L1170" s="266" t="s">
        <v>3911</v>
      </c>
      <c r="M1170" s="266" t="s">
        <v>3911</v>
      </c>
      <c r="N1170" s="113" t="s">
        <v>66</v>
      </c>
      <c r="O1170" s="113"/>
      <c r="P1170" s="113"/>
      <c r="Q1170" s="113">
        <v>31153.38</v>
      </c>
      <c r="R1170" s="113">
        <v>617460</v>
      </c>
      <c r="S1170" s="121">
        <v>317460</v>
      </c>
      <c r="T1170" s="292">
        <f t="shared" si="379"/>
        <v>300000</v>
      </c>
      <c r="U1170" s="113"/>
      <c r="V1170" s="113"/>
      <c r="W1170" s="113"/>
      <c r="X1170" s="113"/>
      <c r="Y1170" s="113"/>
      <c r="Z1170" s="113"/>
      <c r="AA1170" s="275"/>
      <c r="AB1170" s="113"/>
      <c r="AC1170" s="113"/>
      <c r="AD1170" s="122"/>
      <c r="AE1170" s="133"/>
      <c r="AF1170" s="115"/>
      <c r="AG1170" s="133"/>
      <c r="AH1170" s="133"/>
      <c r="AI1170" s="132">
        <f t="shared" si="376"/>
        <v>317460</v>
      </c>
      <c r="AJ1170" s="132">
        <f t="shared" si="377"/>
        <v>317460</v>
      </c>
      <c r="AK1170" s="133">
        <f t="shared" si="378"/>
        <v>0</v>
      </c>
      <c r="AL1170" s="198"/>
      <c r="AM1170" s="133" t="s">
        <v>886</v>
      </c>
      <c r="AN1170" s="246">
        <v>44865</v>
      </c>
      <c r="AO1170" s="100"/>
      <c r="AP1170" s="96"/>
      <c r="AQ1170" s="96"/>
      <c r="AR1170" s="96"/>
      <c r="AS1170" s="96"/>
      <c r="AT1170" s="96"/>
      <c r="AU1170" s="96"/>
      <c r="AV1170" s="96"/>
      <c r="AW1170" s="96"/>
      <c r="AX1170" s="96"/>
      <c r="AY1170" s="96"/>
      <c r="AZ1170" s="96"/>
      <c r="BA1170" s="96"/>
      <c r="BB1170" s="96"/>
      <c r="BC1170" s="96"/>
      <c r="BD1170" s="96"/>
      <c r="BE1170" s="96"/>
    </row>
    <row r="1171" s="97" customFormat="1" customHeight="1" spans="1:57">
      <c r="A1171" s="115" t="s">
        <v>9112</v>
      </c>
      <c r="B1171" s="111" t="s">
        <v>9113</v>
      </c>
      <c r="C1171" s="554" t="s">
        <v>9114</v>
      </c>
      <c r="D1171" s="113" t="s">
        <v>9115</v>
      </c>
      <c r="E1171" s="113">
        <v>13523742866</v>
      </c>
      <c r="F1171" s="267">
        <v>4</v>
      </c>
      <c r="G1171" s="268">
        <v>4488</v>
      </c>
      <c r="H1171" s="274">
        <v>16.53</v>
      </c>
      <c r="I1171" s="274" t="s">
        <v>2657</v>
      </c>
      <c r="J1171" s="113" t="s">
        <v>9116</v>
      </c>
      <c r="K1171" s="116">
        <v>15.02</v>
      </c>
      <c r="L1171" s="266" t="s">
        <v>3697</v>
      </c>
      <c r="M1171" s="266" t="s">
        <v>4542</v>
      </c>
      <c r="N1171" s="113" t="s">
        <v>66</v>
      </c>
      <c r="O1171" s="113"/>
      <c r="P1171" s="113"/>
      <c r="Q1171" s="113">
        <v>27165.85</v>
      </c>
      <c r="R1171" s="113">
        <v>449052</v>
      </c>
      <c r="S1171" s="121">
        <v>208031</v>
      </c>
      <c r="T1171" s="292">
        <f t="shared" si="379"/>
        <v>241021</v>
      </c>
      <c r="U1171" s="113"/>
      <c r="V1171" s="113">
        <v>1074</v>
      </c>
      <c r="W1171" s="113">
        <v>550</v>
      </c>
      <c r="X1171" s="113"/>
      <c r="Y1171" s="113"/>
      <c r="Z1171" s="113"/>
      <c r="AA1171" s="275"/>
      <c r="AB1171" s="113"/>
      <c r="AC1171" s="113"/>
      <c r="AD1171" s="122"/>
      <c r="AE1171" s="133"/>
      <c r="AF1171" s="115"/>
      <c r="AG1171" s="133"/>
      <c r="AH1171" s="133"/>
      <c r="AI1171" s="132">
        <f t="shared" si="376"/>
        <v>209655</v>
      </c>
      <c r="AJ1171" s="132">
        <f t="shared" si="377"/>
        <v>209655</v>
      </c>
      <c r="AK1171" s="133">
        <f t="shared" si="378"/>
        <v>0</v>
      </c>
      <c r="AL1171" s="198"/>
      <c r="AM1171" s="133" t="s">
        <v>886</v>
      </c>
      <c r="AN1171" s="246">
        <v>44865</v>
      </c>
      <c r="AO1171" s="100"/>
      <c r="AP1171" s="96"/>
      <c r="AQ1171" s="96"/>
      <c r="AR1171" s="96"/>
      <c r="AS1171" s="96"/>
      <c r="AT1171" s="96"/>
      <c r="AU1171" s="96"/>
      <c r="AV1171" s="96"/>
      <c r="AW1171" s="96"/>
      <c r="AX1171" s="96"/>
      <c r="AY1171" s="96"/>
      <c r="AZ1171" s="96"/>
      <c r="BA1171" s="96"/>
      <c r="BB1171" s="96"/>
      <c r="BC1171" s="96"/>
      <c r="BD1171" s="96"/>
      <c r="BE1171" s="96"/>
    </row>
    <row r="1172" s="97" customFormat="1" customHeight="1" spans="1:57">
      <c r="A1172" s="115" t="s">
        <v>9117</v>
      </c>
      <c r="B1172" s="111" t="s">
        <v>9118</v>
      </c>
      <c r="C1172" s="111" t="s">
        <v>9119</v>
      </c>
      <c r="D1172" s="113" t="s">
        <v>9120</v>
      </c>
      <c r="E1172" s="113">
        <v>18695853361</v>
      </c>
      <c r="F1172" s="267">
        <v>3</v>
      </c>
      <c r="G1172" s="268">
        <v>3377</v>
      </c>
      <c r="H1172" s="274">
        <v>13.39</v>
      </c>
      <c r="I1172" s="274" t="s">
        <v>2657</v>
      </c>
      <c r="J1172" s="113" t="s">
        <v>9121</v>
      </c>
      <c r="K1172" s="116">
        <v>12.34</v>
      </c>
      <c r="L1172" s="266" t="s">
        <v>4112</v>
      </c>
      <c r="M1172" s="266" t="s">
        <v>4691</v>
      </c>
      <c r="N1172" s="113" t="s">
        <v>66</v>
      </c>
      <c r="O1172" s="113"/>
      <c r="P1172" s="113"/>
      <c r="Q1172" s="113">
        <v>32620.91</v>
      </c>
      <c r="R1172" s="113">
        <v>436794</v>
      </c>
      <c r="S1172" s="121">
        <v>226794</v>
      </c>
      <c r="T1172" s="292" t="s">
        <v>47</v>
      </c>
      <c r="U1172" s="113">
        <v>210000</v>
      </c>
      <c r="V1172" s="113">
        <v>870</v>
      </c>
      <c r="W1172" s="113">
        <v>550</v>
      </c>
      <c r="X1172" s="113"/>
      <c r="Y1172" s="113" t="s">
        <v>2669</v>
      </c>
      <c r="Z1172" s="113" t="s">
        <v>48</v>
      </c>
      <c r="AA1172" s="275">
        <v>44085</v>
      </c>
      <c r="AB1172" s="113"/>
      <c r="AC1172" s="113">
        <f>1791-550</f>
        <v>1241</v>
      </c>
      <c r="AD1172" s="122"/>
      <c r="AE1172" s="133"/>
      <c r="AF1172" s="115"/>
      <c r="AG1172" s="133"/>
      <c r="AH1172" s="133"/>
      <c r="AI1172" s="132">
        <f t="shared" si="376"/>
        <v>439455</v>
      </c>
      <c r="AJ1172" s="132">
        <f t="shared" si="377"/>
        <v>438214</v>
      </c>
      <c r="AK1172" s="133">
        <f t="shared" si="378"/>
        <v>1241</v>
      </c>
      <c r="AL1172" s="198"/>
      <c r="AM1172" s="133" t="s">
        <v>886</v>
      </c>
      <c r="AN1172" s="246">
        <v>44865</v>
      </c>
      <c r="AO1172" s="100"/>
      <c r="AP1172" s="96"/>
      <c r="AQ1172" s="96"/>
      <c r="AR1172" s="96"/>
      <c r="AS1172" s="96"/>
      <c r="AT1172" s="96"/>
      <c r="AU1172" s="96"/>
      <c r="AV1172" s="96"/>
      <c r="AW1172" s="96"/>
      <c r="AX1172" s="96"/>
      <c r="AY1172" s="96"/>
      <c r="AZ1172" s="96"/>
      <c r="BA1172" s="96"/>
      <c r="BB1172" s="96"/>
      <c r="BC1172" s="96"/>
      <c r="BD1172" s="96"/>
      <c r="BE1172" s="96"/>
    </row>
    <row r="1173" s="97" customFormat="1" customHeight="1" spans="1:57">
      <c r="A1173" s="115" t="s">
        <v>9122</v>
      </c>
      <c r="B1173" s="111" t="s">
        <v>9123</v>
      </c>
      <c r="C1173" s="554" t="s">
        <v>9124</v>
      </c>
      <c r="D1173" s="113" t="s">
        <v>9125</v>
      </c>
      <c r="E1173" s="111">
        <v>18236804155</v>
      </c>
      <c r="F1173" s="267">
        <v>4</v>
      </c>
      <c r="G1173" s="268">
        <v>4199</v>
      </c>
      <c r="H1173" s="274">
        <v>12.55</v>
      </c>
      <c r="I1173" s="274" t="s">
        <v>2657</v>
      </c>
      <c r="J1173" s="113" t="s">
        <v>9126</v>
      </c>
      <c r="K1173" s="116">
        <v>9.93</v>
      </c>
      <c r="L1173" s="266" t="s">
        <v>3432</v>
      </c>
      <c r="M1173" s="266" t="s">
        <v>8040</v>
      </c>
      <c r="N1173" s="113" t="s">
        <v>66</v>
      </c>
      <c r="O1173" s="113"/>
      <c r="P1173" s="113"/>
      <c r="Q1173" s="113">
        <v>28096.68</v>
      </c>
      <c r="R1173" s="113">
        <v>352613</v>
      </c>
      <c r="S1173" s="121">
        <v>352613</v>
      </c>
      <c r="T1173" s="292">
        <f t="shared" ref="T1173:T1186" si="380">R1173-S1173</f>
        <v>0</v>
      </c>
      <c r="U1173" s="113"/>
      <c r="V1173" s="113">
        <v>815</v>
      </c>
      <c r="W1173" s="113">
        <v>550</v>
      </c>
      <c r="X1173" s="113"/>
      <c r="Y1173" s="113"/>
      <c r="Z1173" s="113"/>
      <c r="AA1173" s="275"/>
      <c r="AB1173" s="113"/>
      <c r="AC1173" s="113"/>
      <c r="AD1173" s="122"/>
      <c r="AE1173" s="133"/>
      <c r="AF1173" s="115"/>
      <c r="AG1173" s="133"/>
      <c r="AH1173" s="133"/>
      <c r="AI1173" s="132">
        <f t="shared" si="376"/>
        <v>353978</v>
      </c>
      <c r="AJ1173" s="132">
        <f t="shared" si="377"/>
        <v>353978</v>
      </c>
      <c r="AK1173" s="133">
        <f t="shared" si="378"/>
        <v>0</v>
      </c>
      <c r="AL1173" s="198"/>
      <c r="AM1173" s="133" t="s">
        <v>886</v>
      </c>
      <c r="AN1173" s="246">
        <v>44888</v>
      </c>
      <c r="AO1173" s="100"/>
      <c r="AP1173" s="96"/>
      <c r="AQ1173" s="96"/>
      <c r="AR1173" s="96"/>
      <c r="AS1173" s="96"/>
      <c r="AT1173" s="96"/>
      <c r="AU1173" s="96"/>
      <c r="AV1173" s="96"/>
      <c r="AW1173" s="96"/>
      <c r="AX1173" s="96"/>
      <c r="AY1173" s="96"/>
      <c r="AZ1173" s="96"/>
      <c r="BA1173" s="96"/>
      <c r="BB1173" s="96"/>
      <c r="BC1173" s="96"/>
      <c r="BD1173" s="96"/>
      <c r="BE1173" s="96"/>
    </row>
    <row r="1174" s="97" customFormat="1" customHeight="1" spans="1:57">
      <c r="A1174" s="115" t="s">
        <v>9127</v>
      </c>
      <c r="B1174" s="111" t="s">
        <v>9128</v>
      </c>
      <c r="C1174" s="111" t="s">
        <v>9129</v>
      </c>
      <c r="D1174" s="113" t="s">
        <v>9130</v>
      </c>
      <c r="E1174" s="113">
        <v>18503867610</v>
      </c>
      <c r="F1174" s="267">
        <v>3</v>
      </c>
      <c r="G1174" s="268" t="s">
        <v>9131</v>
      </c>
      <c r="H1174" s="274">
        <v>20.01</v>
      </c>
      <c r="I1174" s="274" t="s">
        <v>2657</v>
      </c>
      <c r="J1174" s="113" t="s">
        <v>9132</v>
      </c>
      <c r="K1174" s="116">
        <v>21.25</v>
      </c>
      <c r="L1174" s="266" t="s">
        <v>5646</v>
      </c>
      <c r="M1174" s="266" t="s">
        <v>9133</v>
      </c>
      <c r="N1174" s="113" t="s">
        <v>66</v>
      </c>
      <c r="O1174" s="113"/>
      <c r="P1174" s="113"/>
      <c r="Q1174" s="113">
        <v>32023.76</v>
      </c>
      <c r="R1174" s="113">
        <v>640795</v>
      </c>
      <c r="S1174" s="121">
        <v>340795</v>
      </c>
      <c r="T1174" s="292">
        <f t="shared" si="380"/>
        <v>300000</v>
      </c>
      <c r="U1174" s="113"/>
      <c r="V1174" s="113">
        <v>1300</v>
      </c>
      <c r="W1174" s="113">
        <v>550</v>
      </c>
      <c r="X1174" s="113"/>
      <c r="Y1174" s="113"/>
      <c r="Z1174" s="113"/>
      <c r="AA1174" s="275"/>
      <c r="AB1174" s="113"/>
      <c r="AC1174" s="113"/>
      <c r="AD1174" s="122"/>
      <c r="AE1174" s="133"/>
      <c r="AF1174" s="115"/>
      <c r="AG1174" s="133"/>
      <c r="AH1174" s="133"/>
      <c r="AI1174" s="132">
        <f t="shared" si="376"/>
        <v>342645</v>
      </c>
      <c r="AJ1174" s="132">
        <f t="shared" si="377"/>
        <v>342645</v>
      </c>
      <c r="AK1174" s="133">
        <f t="shared" si="378"/>
        <v>0</v>
      </c>
      <c r="AL1174" s="198"/>
      <c r="AM1174" s="133" t="s">
        <v>886</v>
      </c>
      <c r="AN1174" s="246">
        <v>44865</v>
      </c>
      <c r="AO1174" s="100"/>
      <c r="AP1174" s="96"/>
      <c r="AQ1174" s="96"/>
      <c r="AR1174" s="96"/>
      <c r="AS1174" s="96"/>
      <c r="AT1174" s="96"/>
      <c r="AU1174" s="96"/>
      <c r="AV1174" s="96"/>
      <c r="AW1174" s="96"/>
      <c r="AX1174" s="96"/>
      <c r="AY1174" s="96"/>
      <c r="AZ1174" s="96"/>
      <c r="BA1174" s="96"/>
      <c r="BB1174" s="96"/>
      <c r="BC1174" s="96"/>
      <c r="BD1174" s="96"/>
      <c r="BE1174" s="96"/>
    </row>
    <row r="1175" s="97" customFormat="1" customHeight="1" spans="1:57">
      <c r="A1175" s="115" t="s">
        <v>9134</v>
      </c>
      <c r="B1175" s="111" t="s">
        <v>9135</v>
      </c>
      <c r="C1175" s="111" t="s">
        <v>9136</v>
      </c>
      <c r="D1175" s="113" t="s">
        <v>9137</v>
      </c>
      <c r="E1175" s="113">
        <v>18538517337</v>
      </c>
      <c r="F1175" s="267">
        <v>3</v>
      </c>
      <c r="G1175" s="268">
        <v>3385</v>
      </c>
      <c r="H1175" s="274">
        <v>13.6</v>
      </c>
      <c r="I1175" s="274" t="s">
        <v>2657</v>
      </c>
      <c r="J1175" s="113" t="s">
        <v>9138</v>
      </c>
      <c r="K1175" s="116">
        <v>13.36</v>
      </c>
      <c r="L1175" s="266" t="s">
        <v>3823</v>
      </c>
      <c r="M1175" s="266" t="s">
        <v>5505</v>
      </c>
      <c r="N1175" s="113" t="s">
        <v>56</v>
      </c>
      <c r="O1175" s="113"/>
      <c r="P1175" s="113"/>
      <c r="Q1175" s="113">
        <v>31437.13</v>
      </c>
      <c r="R1175" s="113">
        <v>420000</v>
      </c>
      <c r="S1175" s="121">
        <v>420000</v>
      </c>
      <c r="T1175" s="292">
        <f t="shared" si="380"/>
        <v>0</v>
      </c>
      <c r="U1175" s="113"/>
      <c r="V1175" s="113"/>
      <c r="W1175" s="113"/>
      <c r="X1175" s="113"/>
      <c r="Y1175" s="113"/>
      <c r="Z1175" s="113"/>
      <c r="AA1175" s="275"/>
      <c r="AB1175" s="113"/>
      <c r="AC1175" s="113"/>
      <c r="AD1175" s="122"/>
      <c r="AE1175" s="133"/>
      <c r="AF1175" s="115"/>
      <c r="AG1175" s="133"/>
      <c r="AH1175" s="133"/>
      <c r="AI1175" s="132">
        <f t="shared" ref="AI1175:AI1185" si="381">S1175+U1175+V1175+W1175+X1175+AC1175+AD1175+AE1175</f>
        <v>420000</v>
      </c>
      <c r="AJ1175" s="132">
        <f t="shared" ref="AJ1175:AJ1185" si="382">S1175+U1175+V1175+W1175+X1175</f>
        <v>420000</v>
      </c>
      <c r="AK1175" s="133">
        <f t="shared" ref="AK1175:AK1185" si="383">AI1175-AJ1175</f>
        <v>0</v>
      </c>
      <c r="AL1175" s="198"/>
      <c r="AM1175" s="133" t="s">
        <v>886</v>
      </c>
      <c r="AN1175" s="246">
        <v>44865</v>
      </c>
      <c r="AO1175" s="100"/>
      <c r="AP1175" s="96"/>
      <c r="AQ1175" s="96"/>
      <c r="AR1175" s="96"/>
      <c r="AS1175" s="96"/>
      <c r="AT1175" s="96"/>
      <c r="AU1175" s="96"/>
      <c r="AV1175" s="96"/>
      <c r="AW1175" s="96"/>
      <c r="AX1175" s="96"/>
      <c r="AY1175" s="96"/>
      <c r="AZ1175" s="96"/>
      <c r="BA1175" s="96"/>
      <c r="BB1175" s="96"/>
      <c r="BC1175" s="96"/>
      <c r="BD1175" s="96"/>
      <c r="BE1175" s="96"/>
    </row>
    <row r="1176" s="97" customFormat="1" customHeight="1" spans="1:57">
      <c r="A1176" s="115" t="s">
        <v>9139</v>
      </c>
      <c r="B1176" s="111" t="s">
        <v>9140</v>
      </c>
      <c r="C1176" s="111" t="s">
        <v>9141</v>
      </c>
      <c r="D1176" s="113" t="s">
        <v>9142</v>
      </c>
      <c r="E1176" s="111" t="s">
        <v>9143</v>
      </c>
      <c r="F1176" s="267">
        <v>4</v>
      </c>
      <c r="G1176" s="268">
        <v>4404</v>
      </c>
      <c r="H1176" s="274"/>
      <c r="I1176" s="274" t="s">
        <v>2657</v>
      </c>
      <c r="J1176" s="113" t="s">
        <v>9144</v>
      </c>
      <c r="K1176" s="116">
        <v>15.53</v>
      </c>
      <c r="L1176" s="266" t="s">
        <v>2954</v>
      </c>
      <c r="M1176" s="266" t="s">
        <v>2762</v>
      </c>
      <c r="N1176" s="113" t="s">
        <v>66</v>
      </c>
      <c r="O1176" s="113"/>
      <c r="P1176" s="113"/>
      <c r="Q1176" s="113">
        <v>27309.4</v>
      </c>
      <c r="R1176" s="113">
        <v>424115</v>
      </c>
      <c r="S1176" s="121">
        <v>214115</v>
      </c>
      <c r="T1176" s="292">
        <f t="shared" si="380"/>
        <v>210000</v>
      </c>
      <c r="U1176" s="113"/>
      <c r="V1176" s="113"/>
      <c r="W1176" s="113"/>
      <c r="X1176" s="113"/>
      <c r="Y1176" s="113"/>
      <c r="Z1176" s="113"/>
      <c r="AA1176" s="275"/>
      <c r="AB1176" s="113"/>
      <c r="AC1176" s="113"/>
      <c r="AD1176" s="122"/>
      <c r="AE1176" s="133"/>
      <c r="AF1176" s="115"/>
      <c r="AG1176" s="133"/>
      <c r="AH1176" s="133"/>
      <c r="AI1176" s="132">
        <f t="shared" si="381"/>
        <v>214115</v>
      </c>
      <c r="AJ1176" s="132">
        <f t="shared" si="382"/>
        <v>214115</v>
      </c>
      <c r="AK1176" s="133">
        <f t="shared" si="383"/>
        <v>0</v>
      </c>
      <c r="AL1176" s="198"/>
      <c r="AM1176" s="133" t="s">
        <v>886</v>
      </c>
      <c r="AN1176" s="246">
        <v>44888</v>
      </c>
      <c r="AO1176" s="100"/>
      <c r="AP1176" s="96"/>
      <c r="AQ1176" s="96"/>
      <c r="AR1176" s="96"/>
      <c r="AS1176" s="96"/>
      <c r="AT1176" s="96"/>
      <c r="AU1176" s="96"/>
      <c r="AV1176" s="96"/>
      <c r="AW1176" s="96"/>
      <c r="AX1176" s="96"/>
      <c r="AY1176" s="96"/>
      <c r="AZ1176" s="96"/>
      <c r="BA1176" s="96"/>
      <c r="BB1176" s="96"/>
      <c r="BC1176" s="96"/>
      <c r="BD1176" s="96"/>
      <c r="BE1176" s="96"/>
    </row>
    <row r="1177" s="97" customFormat="1" customHeight="1" spans="1:57">
      <c r="A1177" s="115" t="s">
        <v>9145</v>
      </c>
      <c r="B1177" s="111" t="s">
        <v>9146</v>
      </c>
      <c r="C1177" s="554" t="s">
        <v>9147</v>
      </c>
      <c r="D1177" s="113" t="s">
        <v>9148</v>
      </c>
      <c r="E1177" s="113">
        <v>15290827971</v>
      </c>
      <c r="F1177" s="267">
        <v>4</v>
      </c>
      <c r="G1177" s="268">
        <v>4507</v>
      </c>
      <c r="H1177" s="274">
        <v>10.28</v>
      </c>
      <c r="I1177" s="274" t="s">
        <v>2657</v>
      </c>
      <c r="J1177" s="113" t="s">
        <v>9149</v>
      </c>
      <c r="K1177" s="116">
        <v>8.21</v>
      </c>
      <c r="L1177" s="266" t="s">
        <v>3096</v>
      </c>
      <c r="M1177" s="266" t="s">
        <v>3096</v>
      </c>
      <c r="N1177" s="113" t="s">
        <v>66</v>
      </c>
      <c r="O1177" s="113"/>
      <c r="P1177" s="113"/>
      <c r="Q1177" s="113">
        <v>26287.58</v>
      </c>
      <c r="R1177" s="113">
        <v>215821</v>
      </c>
      <c r="S1177" s="121">
        <v>115821</v>
      </c>
      <c r="T1177" s="292">
        <f t="shared" si="380"/>
        <v>100000</v>
      </c>
      <c r="U1177" s="113"/>
      <c r="V1177" s="113"/>
      <c r="W1177" s="113"/>
      <c r="X1177" s="113"/>
      <c r="Y1177" s="113"/>
      <c r="Z1177" s="113"/>
      <c r="AA1177" s="275"/>
      <c r="AB1177" s="113"/>
      <c r="AC1177" s="113"/>
      <c r="AD1177" s="122"/>
      <c r="AE1177" s="133"/>
      <c r="AF1177" s="115"/>
      <c r="AG1177" s="133"/>
      <c r="AH1177" s="133"/>
      <c r="AI1177" s="132">
        <f t="shared" si="381"/>
        <v>115821</v>
      </c>
      <c r="AJ1177" s="132">
        <f t="shared" si="382"/>
        <v>115821</v>
      </c>
      <c r="AK1177" s="133">
        <f t="shared" si="383"/>
        <v>0</v>
      </c>
      <c r="AL1177" s="198"/>
      <c r="AM1177" s="133" t="s">
        <v>886</v>
      </c>
      <c r="AN1177" s="246">
        <v>44865</v>
      </c>
      <c r="AO1177" s="100"/>
      <c r="AP1177" s="96"/>
      <c r="AQ1177" s="96"/>
      <c r="AR1177" s="96"/>
      <c r="AS1177" s="96"/>
      <c r="AT1177" s="96"/>
      <c r="AU1177" s="96"/>
      <c r="AV1177" s="96"/>
      <c r="AW1177" s="96"/>
      <c r="AX1177" s="96"/>
      <c r="AY1177" s="96"/>
      <c r="AZ1177" s="96"/>
      <c r="BA1177" s="96"/>
      <c r="BB1177" s="96"/>
      <c r="BC1177" s="96"/>
      <c r="BD1177" s="96"/>
      <c r="BE1177" s="96"/>
    </row>
    <row r="1178" s="97" customFormat="1" customHeight="1" spans="1:57">
      <c r="A1178" s="115" t="s">
        <v>9150</v>
      </c>
      <c r="B1178" s="111" t="s">
        <v>9151</v>
      </c>
      <c r="C1178" s="554" t="s">
        <v>9152</v>
      </c>
      <c r="D1178" s="113" t="s">
        <v>9153</v>
      </c>
      <c r="E1178" s="113">
        <v>13782737033</v>
      </c>
      <c r="F1178" s="267">
        <v>4</v>
      </c>
      <c r="G1178" s="268">
        <v>4319</v>
      </c>
      <c r="H1178" s="274">
        <v>49.68</v>
      </c>
      <c r="I1178" s="274" t="s">
        <v>2657</v>
      </c>
      <c r="J1178" s="113" t="s">
        <v>9154</v>
      </c>
      <c r="K1178" s="116">
        <v>42.89</v>
      </c>
      <c r="L1178" s="266" t="s">
        <v>3282</v>
      </c>
      <c r="M1178" s="266" t="s">
        <v>4559</v>
      </c>
      <c r="N1178" s="113" t="s">
        <v>66</v>
      </c>
      <c r="O1178" s="113"/>
      <c r="P1178" s="113"/>
      <c r="Q1178" s="113">
        <v>26234.83</v>
      </c>
      <c r="R1178" s="113">
        <v>1125212</v>
      </c>
      <c r="S1178" s="121">
        <v>565212</v>
      </c>
      <c r="T1178" s="292">
        <f t="shared" si="380"/>
        <v>560000</v>
      </c>
      <c r="U1178" s="113"/>
      <c r="V1178" s="113"/>
      <c r="W1178" s="113"/>
      <c r="X1178" s="113"/>
      <c r="Y1178" s="113"/>
      <c r="Z1178" s="113"/>
      <c r="AA1178" s="275"/>
      <c r="AB1178" s="113"/>
      <c r="AC1178" s="113"/>
      <c r="AD1178" s="122"/>
      <c r="AE1178" s="133"/>
      <c r="AF1178" s="115"/>
      <c r="AG1178" s="133"/>
      <c r="AH1178" s="133"/>
      <c r="AI1178" s="132">
        <f t="shared" si="381"/>
        <v>565212</v>
      </c>
      <c r="AJ1178" s="132">
        <f t="shared" si="382"/>
        <v>565212</v>
      </c>
      <c r="AK1178" s="133">
        <f t="shared" si="383"/>
        <v>0</v>
      </c>
      <c r="AL1178" s="198"/>
      <c r="AM1178" s="133" t="s">
        <v>886</v>
      </c>
      <c r="AN1178" s="246">
        <v>44866</v>
      </c>
      <c r="AO1178" s="100"/>
      <c r="AP1178" s="96"/>
      <c r="AQ1178" s="96"/>
      <c r="AR1178" s="96"/>
      <c r="AS1178" s="96"/>
      <c r="AT1178" s="96"/>
      <c r="AU1178" s="96"/>
      <c r="AV1178" s="96"/>
      <c r="AW1178" s="96"/>
      <c r="AX1178" s="96"/>
      <c r="AY1178" s="96"/>
      <c r="AZ1178" s="96"/>
      <c r="BA1178" s="96"/>
      <c r="BB1178" s="96"/>
      <c r="BC1178" s="96"/>
      <c r="BD1178" s="96"/>
      <c r="BE1178" s="96"/>
    </row>
    <row r="1179" s="97" customFormat="1" customHeight="1" spans="1:57">
      <c r="A1179" s="115" t="s">
        <v>9155</v>
      </c>
      <c r="B1179" s="111" t="s">
        <v>9156</v>
      </c>
      <c r="C1179" s="554" t="s">
        <v>9157</v>
      </c>
      <c r="D1179" s="113" t="s">
        <v>9158</v>
      </c>
      <c r="E1179" s="111">
        <v>13213112225</v>
      </c>
      <c r="F1179" s="267">
        <v>4</v>
      </c>
      <c r="G1179" s="268">
        <v>437</v>
      </c>
      <c r="H1179" s="274">
        <v>14.97</v>
      </c>
      <c r="I1179" s="274" t="s">
        <v>2665</v>
      </c>
      <c r="J1179" s="113" t="s">
        <v>9159</v>
      </c>
      <c r="K1179" s="116">
        <v>28.8</v>
      </c>
      <c r="L1179" s="266" t="s">
        <v>2711</v>
      </c>
      <c r="M1179" s="266" t="s">
        <v>2814</v>
      </c>
      <c r="N1179" s="113" t="s">
        <v>56</v>
      </c>
      <c r="O1179" s="113"/>
      <c r="P1179" s="113"/>
      <c r="Q1179" s="113">
        <v>20447.6</v>
      </c>
      <c r="R1179" s="113">
        <v>306101</v>
      </c>
      <c r="S1179" s="121">
        <v>306101</v>
      </c>
      <c r="T1179" s="292">
        <f t="shared" si="380"/>
        <v>0</v>
      </c>
      <c r="U1179" s="113"/>
      <c r="V1179" s="113">
        <v>973</v>
      </c>
      <c r="W1179" s="113">
        <v>550</v>
      </c>
      <c r="X1179" s="113"/>
      <c r="Y1179" s="113" t="s">
        <v>2669</v>
      </c>
      <c r="Z1179" s="113"/>
      <c r="AA1179" s="275"/>
      <c r="AB1179" s="113"/>
      <c r="AC1179" s="113"/>
      <c r="AD1179" s="122"/>
      <c r="AE1179" s="133"/>
      <c r="AF1179" s="115"/>
      <c r="AG1179" s="133"/>
      <c r="AH1179" s="133"/>
      <c r="AI1179" s="132">
        <f t="shared" si="381"/>
        <v>307624</v>
      </c>
      <c r="AJ1179" s="132">
        <f t="shared" si="382"/>
        <v>307624</v>
      </c>
      <c r="AK1179" s="133">
        <f t="shared" si="383"/>
        <v>0</v>
      </c>
      <c r="AL1179" s="198"/>
      <c r="AM1179" s="133" t="s">
        <v>886</v>
      </c>
      <c r="AN1179" s="246">
        <v>44888</v>
      </c>
      <c r="AO1179" s="100"/>
      <c r="AP1179" s="96"/>
      <c r="AQ1179" s="96"/>
      <c r="AR1179" s="96"/>
      <c r="AS1179" s="96"/>
      <c r="AT1179" s="96"/>
      <c r="AU1179" s="96"/>
      <c r="AV1179" s="96"/>
      <c r="AW1179" s="96"/>
      <c r="AX1179" s="96"/>
      <c r="AY1179" s="96"/>
      <c r="AZ1179" s="96"/>
      <c r="BA1179" s="96"/>
      <c r="BB1179" s="96"/>
      <c r="BC1179" s="96"/>
      <c r="BD1179" s="96"/>
      <c r="BE1179" s="96"/>
    </row>
    <row r="1180" s="97" customFormat="1" customHeight="1" spans="1:57">
      <c r="A1180" s="115" t="s">
        <v>9160</v>
      </c>
      <c r="B1180" s="111" t="s">
        <v>9161</v>
      </c>
      <c r="C1180" s="554" t="s">
        <v>9162</v>
      </c>
      <c r="D1180" s="113" t="s">
        <v>9163</v>
      </c>
      <c r="E1180" s="111">
        <v>15137193304</v>
      </c>
      <c r="F1180" s="267">
        <v>4</v>
      </c>
      <c r="G1180" s="268">
        <v>4536</v>
      </c>
      <c r="H1180" s="274">
        <v>11.36</v>
      </c>
      <c r="I1180" s="274" t="s">
        <v>2657</v>
      </c>
      <c r="J1180" s="113" t="s">
        <v>9164</v>
      </c>
      <c r="K1180" s="116">
        <v>9.85</v>
      </c>
      <c r="L1180" s="266" t="s">
        <v>3096</v>
      </c>
      <c r="M1180" s="266" t="s">
        <v>3577</v>
      </c>
      <c r="N1180" s="113" t="s">
        <v>66</v>
      </c>
      <c r="O1180" s="113"/>
      <c r="P1180" s="113"/>
      <c r="Q1180" s="113">
        <v>26287.72</v>
      </c>
      <c r="R1180" s="113">
        <v>258934</v>
      </c>
      <c r="S1180" s="121">
        <v>138934</v>
      </c>
      <c r="T1180" s="292">
        <f t="shared" si="380"/>
        <v>120000</v>
      </c>
      <c r="U1180" s="113"/>
      <c r="V1180" s="113"/>
      <c r="W1180" s="113"/>
      <c r="X1180" s="113"/>
      <c r="Y1180" s="113"/>
      <c r="Z1180" s="113"/>
      <c r="AA1180" s="275"/>
      <c r="AB1180" s="113"/>
      <c r="AC1180" s="113"/>
      <c r="AD1180" s="122"/>
      <c r="AE1180" s="133"/>
      <c r="AF1180" s="115"/>
      <c r="AG1180" s="133"/>
      <c r="AH1180" s="133"/>
      <c r="AI1180" s="132">
        <f t="shared" si="381"/>
        <v>138934</v>
      </c>
      <c r="AJ1180" s="132">
        <f t="shared" si="382"/>
        <v>138934</v>
      </c>
      <c r="AK1180" s="133">
        <f t="shared" si="383"/>
        <v>0</v>
      </c>
      <c r="AL1180" s="198"/>
      <c r="AM1180" s="133" t="s">
        <v>886</v>
      </c>
      <c r="AN1180" s="246">
        <v>44888</v>
      </c>
      <c r="AO1180" s="100"/>
      <c r="AP1180" s="96"/>
      <c r="AQ1180" s="96"/>
      <c r="AR1180" s="96"/>
      <c r="AS1180" s="96"/>
      <c r="AT1180" s="96"/>
      <c r="AU1180" s="96"/>
      <c r="AV1180" s="96"/>
      <c r="AW1180" s="96"/>
      <c r="AX1180" s="96"/>
      <c r="AY1180" s="96"/>
      <c r="AZ1180" s="96"/>
      <c r="BA1180" s="96"/>
      <c r="BB1180" s="96"/>
      <c r="BC1180" s="96"/>
      <c r="BD1180" s="96"/>
      <c r="BE1180" s="96"/>
    </row>
    <row r="1181" s="97" customFormat="1" customHeight="1" spans="1:57">
      <c r="A1181" s="115" t="s">
        <v>9165</v>
      </c>
      <c r="B1181" s="111" t="s">
        <v>9166</v>
      </c>
      <c r="C1181" s="111" t="s">
        <v>9167</v>
      </c>
      <c r="D1181" s="113" t="s">
        <v>9168</v>
      </c>
      <c r="E1181" s="113">
        <v>15729373869</v>
      </c>
      <c r="F1181" s="267">
        <v>4</v>
      </c>
      <c r="G1181" s="268">
        <v>4216</v>
      </c>
      <c r="H1181" s="274">
        <v>17.79</v>
      </c>
      <c r="I1181" s="274" t="s">
        <v>2665</v>
      </c>
      <c r="J1181" s="113" t="s">
        <v>9169</v>
      </c>
      <c r="K1181" s="116">
        <v>23.58</v>
      </c>
      <c r="L1181" s="266" t="s">
        <v>2712</v>
      </c>
      <c r="M1181" s="266" t="s">
        <v>2685</v>
      </c>
      <c r="N1181" s="113" t="s">
        <v>56</v>
      </c>
      <c r="O1181" s="113"/>
      <c r="P1181" s="113"/>
      <c r="Q1181" s="113">
        <v>24526.04</v>
      </c>
      <c r="R1181" s="113">
        <v>436318</v>
      </c>
      <c r="S1181" s="121">
        <v>436318</v>
      </c>
      <c r="T1181" s="292">
        <f t="shared" si="380"/>
        <v>0</v>
      </c>
      <c r="U1181" s="113"/>
      <c r="V1181" s="113">
        <v>1156</v>
      </c>
      <c r="W1181" s="113">
        <v>550</v>
      </c>
      <c r="X1181" s="113">
        <v>140300</v>
      </c>
      <c r="Y1181" s="113" t="s">
        <v>2669</v>
      </c>
      <c r="Z1181" s="113" t="s">
        <v>48</v>
      </c>
      <c r="AA1181" s="275">
        <v>44027</v>
      </c>
      <c r="AB1181" s="113"/>
      <c r="AC1181" s="113"/>
      <c r="AD1181" s="122"/>
      <c r="AE1181" s="133"/>
      <c r="AF1181" s="115"/>
      <c r="AG1181" s="133"/>
      <c r="AH1181" s="133"/>
      <c r="AI1181" s="132">
        <f t="shared" si="381"/>
        <v>578324</v>
      </c>
      <c r="AJ1181" s="132">
        <f t="shared" si="382"/>
        <v>578324</v>
      </c>
      <c r="AK1181" s="133">
        <f t="shared" si="383"/>
        <v>0</v>
      </c>
      <c r="AL1181" s="198"/>
      <c r="AM1181" s="133" t="s">
        <v>886</v>
      </c>
      <c r="AN1181" s="246">
        <v>44866</v>
      </c>
      <c r="AO1181" s="100"/>
      <c r="AP1181" s="96"/>
      <c r="AQ1181" s="96"/>
      <c r="AR1181" s="96"/>
      <c r="AS1181" s="96"/>
      <c r="AT1181" s="96"/>
      <c r="AU1181" s="96"/>
      <c r="AV1181" s="96"/>
      <c r="AW1181" s="96"/>
      <c r="AX1181" s="96"/>
      <c r="AY1181" s="96"/>
      <c r="AZ1181" s="96"/>
      <c r="BA1181" s="96"/>
      <c r="BB1181" s="96"/>
      <c r="BC1181" s="96"/>
      <c r="BD1181" s="96"/>
      <c r="BE1181" s="96"/>
    </row>
    <row r="1182" s="97" customFormat="1" customHeight="1" spans="1:57">
      <c r="A1182" s="115" t="s">
        <v>9170</v>
      </c>
      <c r="B1182" s="111" t="s">
        <v>9171</v>
      </c>
      <c r="C1182" s="554" t="s">
        <v>9172</v>
      </c>
      <c r="D1182" s="113" t="s">
        <v>9173</v>
      </c>
      <c r="E1182" s="113">
        <v>15324881116</v>
      </c>
      <c r="F1182" s="267">
        <v>4</v>
      </c>
      <c r="G1182" s="268">
        <v>4162</v>
      </c>
      <c r="H1182" s="274">
        <v>15.1</v>
      </c>
      <c r="I1182" s="274" t="s">
        <v>2657</v>
      </c>
      <c r="J1182" s="113" t="s">
        <v>9174</v>
      </c>
      <c r="K1182" s="116">
        <v>14.04</v>
      </c>
      <c r="L1182" s="266" t="s">
        <v>3408</v>
      </c>
      <c r="M1182" s="266" t="s">
        <v>5273</v>
      </c>
      <c r="N1182" s="113" t="s">
        <v>56</v>
      </c>
      <c r="O1182" s="113"/>
      <c r="P1182" s="113"/>
      <c r="Q1182" s="113">
        <v>25899.67</v>
      </c>
      <c r="R1182" s="113">
        <v>391085</v>
      </c>
      <c r="S1182" s="121">
        <v>391085</v>
      </c>
      <c r="T1182" s="292">
        <f t="shared" si="380"/>
        <v>0</v>
      </c>
      <c r="U1182" s="113"/>
      <c r="V1182" s="113">
        <v>981</v>
      </c>
      <c r="W1182" s="113">
        <v>550</v>
      </c>
      <c r="X1182" s="113"/>
      <c r="Y1182" s="113" t="s">
        <v>2669</v>
      </c>
      <c r="Z1182" s="113" t="s">
        <v>48</v>
      </c>
      <c r="AA1182" s="275">
        <v>44052</v>
      </c>
      <c r="AB1182" s="113"/>
      <c r="AC1182" s="113"/>
      <c r="AD1182" s="122"/>
      <c r="AE1182" s="133"/>
      <c r="AF1182" s="115"/>
      <c r="AG1182" s="133"/>
      <c r="AH1182" s="133"/>
      <c r="AI1182" s="132">
        <f t="shared" si="381"/>
        <v>392616</v>
      </c>
      <c r="AJ1182" s="132">
        <f t="shared" si="382"/>
        <v>392616</v>
      </c>
      <c r="AK1182" s="133">
        <f t="shared" si="383"/>
        <v>0</v>
      </c>
      <c r="AL1182" s="198"/>
      <c r="AM1182" s="133" t="s">
        <v>886</v>
      </c>
      <c r="AN1182" s="246">
        <v>44866</v>
      </c>
      <c r="AO1182" s="100"/>
      <c r="AP1182" s="96"/>
      <c r="AQ1182" s="96"/>
      <c r="AR1182" s="96"/>
      <c r="AS1182" s="96"/>
      <c r="AT1182" s="96"/>
      <c r="AU1182" s="96"/>
      <c r="AV1182" s="96"/>
      <c r="AW1182" s="96"/>
      <c r="AX1182" s="96"/>
      <c r="AY1182" s="96"/>
      <c r="AZ1182" s="96"/>
      <c r="BA1182" s="96"/>
      <c r="BB1182" s="96"/>
      <c r="BC1182" s="96"/>
      <c r="BD1182" s="96"/>
      <c r="BE1182" s="96"/>
    </row>
    <row r="1183" s="97" customFormat="1" customHeight="1" spans="1:57">
      <c r="A1183" s="115" t="s">
        <v>9175</v>
      </c>
      <c r="B1183" s="111" t="s">
        <v>9176</v>
      </c>
      <c r="C1183" s="111" t="s">
        <v>9177</v>
      </c>
      <c r="D1183" s="113" t="s">
        <v>9178</v>
      </c>
      <c r="E1183" s="113">
        <v>18300671056</v>
      </c>
      <c r="F1183" s="267">
        <v>3</v>
      </c>
      <c r="G1183" s="268">
        <v>3338</v>
      </c>
      <c r="H1183" s="274">
        <v>19.42</v>
      </c>
      <c r="I1183" s="274" t="s">
        <v>2657</v>
      </c>
      <c r="J1183" s="113" t="s">
        <v>9179</v>
      </c>
      <c r="K1183" s="116">
        <v>19.01</v>
      </c>
      <c r="L1183" s="266" t="s">
        <v>6031</v>
      </c>
      <c r="M1183" s="266" t="s">
        <v>9180</v>
      </c>
      <c r="N1183" s="113" t="s">
        <v>66</v>
      </c>
      <c r="O1183" s="113"/>
      <c r="P1183" s="113"/>
      <c r="Q1183" s="113">
        <v>31441.66</v>
      </c>
      <c r="R1183" s="113">
        <v>610597</v>
      </c>
      <c r="S1183" s="121">
        <v>320597</v>
      </c>
      <c r="T1183" s="292">
        <f t="shared" si="380"/>
        <v>290000</v>
      </c>
      <c r="U1183" s="113"/>
      <c r="V1183" s="113">
        <v>1262</v>
      </c>
      <c r="W1183" s="113">
        <v>550</v>
      </c>
      <c r="X1183" s="113"/>
      <c r="Y1183" s="113" t="s">
        <v>2669</v>
      </c>
      <c r="Z1183" s="113" t="s">
        <v>48</v>
      </c>
      <c r="AA1183" s="275">
        <v>44191</v>
      </c>
      <c r="AB1183" s="113"/>
      <c r="AC1183" s="113">
        <v>1249</v>
      </c>
      <c r="AD1183" s="122"/>
      <c r="AE1183" s="133"/>
      <c r="AF1183" s="115"/>
      <c r="AG1183" s="133"/>
      <c r="AH1183" s="133"/>
      <c r="AI1183" s="132">
        <f t="shared" si="381"/>
        <v>323658</v>
      </c>
      <c r="AJ1183" s="341"/>
      <c r="AK1183" s="133">
        <f t="shared" si="383"/>
        <v>323658</v>
      </c>
      <c r="AL1183" s="371" t="s">
        <v>9181</v>
      </c>
      <c r="AM1183" s="133" t="s">
        <v>886</v>
      </c>
      <c r="AN1183" s="246">
        <v>44866</v>
      </c>
      <c r="AO1183" s="100"/>
      <c r="AP1183" s="96"/>
      <c r="AQ1183" s="96"/>
      <c r="AR1183" s="96"/>
      <c r="AS1183" s="96"/>
      <c r="AT1183" s="96"/>
      <c r="AU1183" s="96"/>
      <c r="AV1183" s="96"/>
      <c r="AW1183" s="96"/>
      <c r="AX1183" s="96"/>
      <c r="AY1183" s="96"/>
      <c r="AZ1183" s="96"/>
      <c r="BA1183" s="96"/>
      <c r="BB1183" s="96"/>
      <c r="BC1183" s="96"/>
      <c r="BD1183" s="96"/>
      <c r="BE1183" s="96"/>
    </row>
    <row r="1184" s="97" customFormat="1" customHeight="1" spans="1:57">
      <c r="A1184" s="115" t="s">
        <v>9182</v>
      </c>
      <c r="B1184" s="111" t="s">
        <v>9183</v>
      </c>
      <c r="C1184" s="111" t="s">
        <v>9184</v>
      </c>
      <c r="D1184" s="113" t="s">
        <v>9185</v>
      </c>
      <c r="E1184" s="113">
        <v>18239979542</v>
      </c>
      <c r="F1184" s="267">
        <v>3</v>
      </c>
      <c r="G1184" s="268">
        <v>3785</v>
      </c>
      <c r="H1184" s="274">
        <v>15.4</v>
      </c>
      <c r="I1184" s="274" t="s">
        <v>2657</v>
      </c>
      <c r="J1184" s="113" t="s">
        <v>9186</v>
      </c>
      <c r="K1184" s="116">
        <v>16.13</v>
      </c>
      <c r="L1184" s="266" t="s">
        <v>3686</v>
      </c>
      <c r="M1184" s="266" t="s">
        <v>2835</v>
      </c>
      <c r="N1184" s="113" t="s">
        <v>56</v>
      </c>
      <c r="O1184" s="113"/>
      <c r="P1184" s="113"/>
      <c r="Q1184" s="113">
        <v>31812.47</v>
      </c>
      <c r="R1184" s="113">
        <v>489912</v>
      </c>
      <c r="S1184" s="121">
        <v>489912</v>
      </c>
      <c r="T1184" s="292">
        <f t="shared" si="380"/>
        <v>0</v>
      </c>
      <c r="U1184" s="113"/>
      <c r="V1184" s="113">
        <v>1001</v>
      </c>
      <c r="W1184" s="113">
        <v>550</v>
      </c>
      <c r="X1184" s="113"/>
      <c r="Y1184" s="113" t="s">
        <v>2669</v>
      </c>
      <c r="Z1184" s="113" t="s">
        <v>48</v>
      </c>
      <c r="AA1184" s="275">
        <v>44053</v>
      </c>
      <c r="AB1184" s="113"/>
      <c r="AC1184" s="113"/>
      <c r="AD1184" s="122"/>
      <c r="AE1184" s="133">
        <v>-1551</v>
      </c>
      <c r="AF1184" s="115"/>
      <c r="AG1184" s="133"/>
      <c r="AH1184" s="133"/>
      <c r="AI1184" s="132">
        <f t="shared" si="381"/>
        <v>489912</v>
      </c>
      <c r="AJ1184" s="132">
        <f t="shared" si="382"/>
        <v>491463</v>
      </c>
      <c r="AK1184" s="133">
        <f t="shared" si="383"/>
        <v>-1551</v>
      </c>
      <c r="AL1184" s="198" t="s">
        <v>9187</v>
      </c>
      <c r="AM1184" s="133" t="s">
        <v>886</v>
      </c>
      <c r="AN1184" s="246">
        <v>44866</v>
      </c>
      <c r="AO1184" s="100"/>
      <c r="AP1184" s="96"/>
      <c r="AQ1184" s="96"/>
      <c r="AR1184" s="96"/>
      <c r="AS1184" s="96"/>
      <c r="AT1184" s="96"/>
      <c r="AU1184" s="96"/>
      <c r="AV1184" s="96"/>
      <c r="AW1184" s="96"/>
      <c r="AX1184" s="96"/>
      <c r="AY1184" s="96"/>
      <c r="AZ1184" s="96"/>
      <c r="BA1184" s="96"/>
      <c r="BB1184" s="96"/>
      <c r="BC1184" s="96"/>
      <c r="BD1184" s="96"/>
      <c r="BE1184" s="96"/>
    </row>
    <row r="1185" s="97" customFormat="1" customHeight="1" spans="1:57">
      <c r="A1185" s="115" t="s">
        <v>9188</v>
      </c>
      <c r="B1185" s="111" t="s">
        <v>9189</v>
      </c>
      <c r="C1185" s="554" t="s">
        <v>9190</v>
      </c>
      <c r="D1185" s="113" t="s">
        <v>9191</v>
      </c>
      <c r="E1185" s="113">
        <v>15136188339</v>
      </c>
      <c r="F1185" s="267">
        <v>4</v>
      </c>
      <c r="G1185" s="268">
        <v>4368</v>
      </c>
      <c r="H1185" s="274">
        <v>14.93</v>
      </c>
      <c r="I1185" s="274" t="s">
        <v>2665</v>
      </c>
      <c r="J1185" s="113" t="s">
        <v>9192</v>
      </c>
      <c r="K1185" s="116">
        <v>12.21</v>
      </c>
      <c r="L1185" s="266" t="s">
        <v>3445</v>
      </c>
      <c r="M1185" s="266" t="s">
        <v>3445</v>
      </c>
      <c r="N1185" s="113" t="s">
        <v>66</v>
      </c>
      <c r="O1185" s="113"/>
      <c r="P1185" s="113"/>
      <c r="Q1185" s="113">
        <v>26126.13</v>
      </c>
      <c r="R1185" s="113">
        <v>319000</v>
      </c>
      <c r="S1185" s="121">
        <v>160000</v>
      </c>
      <c r="T1185" s="292">
        <f t="shared" si="380"/>
        <v>159000</v>
      </c>
      <c r="U1185" s="113"/>
      <c r="V1185" s="113"/>
      <c r="W1185" s="113"/>
      <c r="X1185" s="113"/>
      <c r="Y1185" s="113"/>
      <c r="Z1185" s="113"/>
      <c r="AA1185" s="275"/>
      <c r="AB1185" s="113"/>
      <c r="AC1185" s="113"/>
      <c r="AD1185" s="122"/>
      <c r="AE1185" s="133"/>
      <c r="AF1185" s="115"/>
      <c r="AG1185" s="133"/>
      <c r="AH1185" s="133">
        <f>AJ1185</f>
        <v>160000</v>
      </c>
      <c r="AI1185" s="132">
        <f t="shared" si="381"/>
        <v>160000</v>
      </c>
      <c r="AJ1185" s="132">
        <f t="shared" si="382"/>
        <v>160000</v>
      </c>
      <c r="AK1185" s="133">
        <f t="shared" si="383"/>
        <v>0</v>
      </c>
      <c r="AL1185" s="198"/>
      <c r="AM1185" s="133" t="s">
        <v>886</v>
      </c>
      <c r="AN1185" s="246">
        <v>44866</v>
      </c>
      <c r="AO1185" s="100"/>
      <c r="AP1185" s="96"/>
      <c r="AQ1185" s="96"/>
      <c r="AR1185" s="96"/>
      <c r="AS1185" s="96"/>
      <c r="AT1185" s="96"/>
      <c r="AU1185" s="96"/>
      <c r="AV1185" s="96"/>
      <c r="AW1185" s="96"/>
      <c r="AX1185" s="96"/>
      <c r="AY1185" s="96"/>
      <c r="AZ1185" s="96"/>
      <c r="BA1185" s="96"/>
      <c r="BB1185" s="96"/>
      <c r="BC1185" s="96"/>
      <c r="BD1185" s="96"/>
      <c r="BE1185" s="96"/>
    </row>
    <row r="1186" s="97" customFormat="1" customHeight="1" spans="1:57">
      <c r="A1186" s="115" t="s">
        <v>9193</v>
      </c>
      <c r="B1186" s="111" t="s">
        <v>9194</v>
      </c>
      <c r="C1186" s="111" t="s">
        <v>9195</v>
      </c>
      <c r="D1186" s="113" t="s">
        <v>9196</v>
      </c>
      <c r="E1186" s="113" t="s">
        <v>9197</v>
      </c>
      <c r="F1186" s="267">
        <v>3</v>
      </c>
      <c r="G1186" s="268">
        <v>3340</v>
      </c>
      <c r="H1186" s="274">
        <v>11.98</v>
      </c>
      <c r="I1186" s="274" t="s">
        <v>2657</v>
      </c>
      <c r="J1186" s="113" t="s">
        <v>9198</v>
      </c>
      <c r="K1186" s="116">
        <v>12.07</v>
      </c>
      <c r="L1186" s="266" t="s">
        <v>4112</v>
      </c>
      <c r="M1186" s="266" t="s">
        <v>3049</v>
      </c>
      <c r="N1186" s="113" t="s">
        <v>66</v>
      </c>
      <c r="O1186" s="113"/>
      <c r="P1186" s="113"/>
      <c r="Q1186" s="113">
        <v>32596.44</v>
      </c>
      <c r="R1186" s="113">
        <v>393439</v>
      </c>
      <c r="S1186" s="121">
        <v>203439</v>
      </c>
      <c r="T1186" s="292">
        <f t="shared" si="380"/>
        <v>190000</v>
      </c>
      <c r="U1186" s="113"/>
      <c r="V1186" s="113"/>
      <c r="W1186" s="113"/>
      <c r="X1186" s="113"/>
      <c r="Y1186" s="113"/>
      <c r="Z1186" s="113"/>
      <c r="AA1186" s="275"/>
      <c r="AB1186" s="113"/>
      <c r="AC1186" s="113"/>
      <c r="AD1186" s="122"/>
      <c r="AE1186" s="133"/>
      <c r="AF1186" s="115"/>
      <c r="AG1186" s="133"/>
      <c r="AH1186" s="133"/>
      <c r="AI1186" s="132">
        <f t="shared" ref="AI1186:AI1196" si="384">S1186+U1186+V1186+W1186+X1186+AC1186+AD1186+AE1186</f>
        <v>203439</v>
      </c>
      <c r="AJ1186" s="132">
        <f t="shared" ref="AJ1186:AJ1196" si="385">S1186+U1186+V1186+W1186+X1186</f>
        <v>203439</v>
      </c>
      <c r="AK1186" s="133">
        <f t="shared" ref="AK1186:AK1196" si="386">AI1186-AJ1186</f>
        <v>0</v>
      </c>
      <c r="AL1186" s="198"/>
      <c r="AM1186" s="133" t="s">
        <v>886</v>
      </c>
      <c r="AN1186" s="246">
        <v>44866</v>
      </c>
      <c r="AO1186" s="100"/>
      <c r="AP1186" s="96"/>
      <c r="AQ1186" s="96"/>
      <c r="AR1186" s="96"/>
      <c r="AS1186" s="96"/>
      <c r="AT1186" s="96"/>
      <c r="AU1186" s="96"/>
      <c r="AV1186" s="96"/>
      <c r="AW1186" s="96"/>
      <c r="AX1186" s="96"/>
      <c r="AY1186" s="96"/>
      <c r="AZ1186" s="96"/>
      <c r="BA1186" s="96"/>
      <c r="BB1186" s="96"/>
      <c r="BC1186" s="96"/>
      <c r="BD1186" s="96"/>
      <c r="BE1186" s="96"/>
    </row>
    <row r="1187" s="97" customFormat="1" customHeight="1" spans="1:57">
      <c r="A1187" s="115" t="s">
        <v>9199</v>
      </c>
      <c r="B1187" s="111" t="s">
        <v>9200</v>
      </c>
      <c r="C1187" s="554" t="s">
        <v>9201</v>
      </c>
      <c r="D1187" s="113" t="s">
        <v>9202</v>
      </c>
      <c r="E1187" s="113">
        <v>15117161719</v>
      </c>
      <c r="F1187" s="267">
        <v>3</v>
      </c>
      <c r="G1187" s="268">
        <v>3818</v>
      </c>
      <c r="H1187" s="274">
        <v>13.52</v>
      </c>
      <c r="I1187" s="274" t="s">
        <v>2657</v>
      </c>
      <c r="J1187" s="113" t="s">
        <v>9203</v>
      </c>
      <c r="K1187" s="116">
        <v>11.34</v>
      </c>
      <c r="L1187" s="266" t="s">
        <v>3634</v>
      </c>
      <c r="M1187" s="266" t="s">
        <v>5392</v>
      </c>
      <c r="N1187" s="113" t="s">
        <v>66</v>
      </c>
      <c r="O1187" s="113"/>
      <c r="P1187" s="113"/>
      <c r="Q1187" s="113">
        <v>33509.7</v>
      </c>
      <c r="R1187" s="113">
        <v>453051</v>
      </c>
      <c r="S1187" s="121">
        <v>233051</v>
      </c>
      <c r="T1187" s="292" t="s">
        <v>47</v>
      </c>
      <c r="U1187" s="113">
        <v>220000</v>
      </c>
      <c r="V1187" s="113">
        <v>878</v>
      </c>
      <c r="W1187" s="113">
        <v>550</v>
      </c>
      <c r="X1187" s="113"/>
      <c r="Y1187" s="113" t="s">
        <v>2669</v>
      </c>
      <c r="Z1187" s="113" t="s">
        <v>48</v>
      </c>
      <c r="AA1187" s="275">
        <v>44065</v>
      </c>
      <c r="AB1187" s="113"/>
      <c r="AC1187" s="113"/>
      <c r="AD1187" s="122"/>
      <c r="AE1187" s="133"/>
      <c r="AF1187" s="115"/>
      <c r="AG1187" s="133"/>
      <c r="AH1187" s="133"/>
      <c r="AI1187" s="132">
        <f t="shared" si="384"/>
        <v>454479</v>
      </c>
      <c r="AJ1187" s="132">
        <f t="shared" si="385"/>
        <v>454479</v>
      </c>
      <c r="AK1187" s="133">
        <f t="shared" si="386"/>
        <v>0</v>
      </c>
      <c r="AL1187" s="198"/>
      <c r="AM1187" s="133" t="s">
        <v>886</v>
      </c>
      <c r="AN1187" s="246">
        <v>44866</v>
      </c>
      <c r="AO1187" s="100"/>
      <c r="AP1187" s="96"/>
      <c r="AQ1187" s="96"/>
      <c r="AR1187" s="96"/>
      <c r="AS1187" s="96"/>
      <c r="AT1187" s="96"/>
      <c r="AU1187" s="96"/>
      <c r="AV1187" s="96"/>
      <c r="AW1187" s="96"/>
      <c r="AX1187" s="96"/>
      <c r="AY1187" s="96"/>
      <c r="AZ1187" s="96"/>
      <c r="BA1187" s="96"/>
      <c r="BB1187" s="96"/>
      <c r="BC1187" s="96"/>
      <c r="BD1187" s="96"/>
      <c r="BE1187" s="96"/>
    </row>
    <row r="1188" s="97" customFormat="1" customHeight="1" spans="1:57">
      <c r="A1188" s="115" t="s">
        <v>9204</v>
      </c>
      <c r="B1188" s="111" t="s">
        <v>9205</v>
      </c>
      <c r="C1188" s="111" t="s">
        <v>9206</v>
      </c>
      <c r="D1188" s="113" t="s">
        <v>9207</v>
      </c>
      <c r="E1188" s="113">
        <v>13598000582</v>
      </c>
      <c r="F1188" s="267">
        <v>3</v>
      </c>
      <c r="G1188" s="268">
        <v>3728</v>
      </c>
      <c r="H1188" s="274">
        <v>14.17</v>
      </c>
      <c r="I1188" s="274" t="s">
        <v>2657</v>
      </c>
      <c r="J1188" s="113" t="s">
        <v>9208</v>
      </c>
      <c r="K1188" s="116">
        <v>12.82</v>
      </c>
      <c r="L1188" s="266" t="s">
        <v>2762</v>
      </c>
      <c r="M1188" s="266" t="s">
        <v>8241</v>
      </c>
      <c r="N1188" s="113" t="s">
        <v>66</v>
      </c>
      <c r="O1188" s="113"/>
      <c r="P1188" s="113"/>
      <c r="Q1188" s="113">
        <v>31759.83</v>
      </c>
      <c r="R1188" s="113">
        <v>407161</v>
      </c>
      <c r="S1188" s="121">
        <v>227161</v>
      </c>
      <c r="T1188" s="292">
        <f>R1188-S1188</f>
        <v>180000</v>
      </c>
      <c r="U1188" s="113"/>
      <c r="V1188" s="113"/>
      <c r="W1188" s="113"/>
      <c r="X1188" s="113"/>
      <c r="Y1188" s="113"/>
      <c r="Z1188" s="113"/>
      <c r="AA1188" s="275"/>
      <c r="AB1188" s="113"/>
      <c r="AC1188" s="113"/>
      <c r="AD1188" s="122"/>
      <c r="AE1188" s="133"/>
      <c r="AF1188" s="115"/>
      <c r="AG1188" s="133"/>
      <c r="AH1188" s="133"/>
      <c r="AI1188" s="132">
        <f t="shared" si="384"/>
        <v>227161</v>
      </c>
      <c r="AJ1188" s="132">
        <f t="shared" si="385"/>
        <v>227161</v>
      </c>
      <c r="AK1188" s="133">
        <f t="shared" si="386"/>
        <v>0</v>
      </c>
      <c r="AL1188" s="198"/>
      <c r="AM1188" s="133" t="s">
        <v>886</v>
      </c>
      <c r="AN1188" s="246">
        <v>44866</v>
      </c>
      <c r="AO1188" s="100"/>
      <c r="AP1188" s="96"/>
      <c r="AQ1188" s="96"/>
      <c r="AR1188" s="96"/>
      <c r="AS1188" s="96"/>
      <c r="AT1188" s="96"/>
      <c r="AU1188" s="96"/>
      <c r="AV1188" s="96"/>
      <c r="AW1188" s="96"/>
      <c r="AX1188" s="96"/>
      <c r="AY1188" s="96"/>
      <c r="AZ1188" s="96"/>
      <c r="BA1188" s="96"/>
      <c r="BB1188" s="96"/>
      <c r="BC1188" s="96"/>
      <c r="BD1188" s="96"/>
      <c r="BE1188" s="96"/>
    </row>
    <row r="1189" s="97" customFormat="1" customHeight="1" spans="1:57">
      <c r="A1189" s="115" t="s">
        <v>9209</v>
      </c>
      <c r="B1189" s="111" t="s">
        <v>9210</v>
      </c>
      <c r="C1189" s="554" t="s">
        <v>9211</v>
      </c>
      <c r="D1189" s="113" t="s">
        <v>9212</v>
      </c>
      <c r="E1189" s="113">
        <v>13629847253</v>
      </c>
      <c r="F1189" s="267">
        <v>4</v>
      </c>
      <c r="G1189" s="268">
        <v>4465</v>
      </c>
      <c r="H1189" s="274">
        <v>18.64</v>
      </c>
      <c r="I1189" s="274" t="s">
        <v>2657</v>
      </c>
      <c r="J1189" s="113" t="s">
        <v>9213</v>
      </c>
      <c r="K1189" s="116">
        <v>14.27</v>
      </c>
      <c r="L1189" s="266" t="s">
        <v>5737</v>
      </c>
      <c r="M1189" s="266" t="s">
        <v>4567</v>
      </c>
      <c r="N1189" s="113" t="s">
        <v>66</v>
      </c>
      <c r="O1189" s="113"/>
      <c r="P1189" s="113"/>
      <c r="Q1189" s="113">
        <v>27153.26</v>
      </c>
      <c r="R1189" s="113">
        <v>387477</v>
      </c>
      <c r="S1189" s="121">
        <v>197477</v>
      </c>
      <c r="T1189" s="292">
        <f>R1189-S1189</f>
        <v>190000</v>
      </c>
      <c r="U1189" s="113"/>
      <c r="V1189" s="113"/>
      <c r="W1189" s="113"/>
      <c r="X1189" s="113"/>
      <c r="Y1189" s="113"/>
      <c r="Z1189" s="113"/>
      <c r="AA1189" s="275"/>
      <c r="AB1189" s="113"/>
      <c r="AC1189" s="113"/>
      <c r="AD1189" s="122"/>
      <c r="AE1189" s="133"/>
      <c r="AF1189" s="115"/>
      <c r="AG1189" s="133"/>
      <c r="AH1189" s="133"/>
      <c r="AI1189" s="132">
        <f t="shared" si="384"/>
        <v>197477</v>
      </c>
      <c r="AJ1189" s="132">
        <f t="shared" si="385"/>
        <v>197477</v>
      </c>
      <c r="AK1189" s="133">
        <f t="shared" si="386"/>
        <v>0</v>
      </c>
      <c r="AL1189" s="198" t="s">
        <v>9214</v>
      </c>
      <c r="AM1189" s="133" t="s">
        <v>886</v>
      </c>
      <c r="AN1189" s="246">
        <v>44866</v>
      </c>
      <c r="AO1189" s="100"/>
      <c r="AP1189" s="96"/>
      <c r="AQ1189" s="96"/>
      <c r="AR1189" s="96"/>
      <c r="AS1189" s="96"/>
      <c r="AT1189" s="96"/>
      <c r="AU1189" s="96"/>
      <c r="AV1189" s="96"/>
      <c r="AW1189" s="96"/>
      <c r="AX1189" s="96"/>
      <c r="AY1189" s="96"/>
      <c r="AZ1189" s="96"/>
      <c r="BA1189" s="96"/>
      <c r="BB1189" s="96"/>
      <c r="BC1189" s="96"/>
      <c r="BD1189" s="96"/>
      <c r="BE1189" s="96"/>
    </row>
    <row r="1190" s="97" customFormat="1" customHeight="1" spans="1:57">
      <c r="A1190" s="115" t="s">
        <v>9215</v>
      </c>
      <c r="B1190" s="111" t="s">
        <v>9216</v>
      </c>
      <c r="C1190" s="554" t="s">
        <v>9217</v>
      </c>
      <c r="D1190" s="113" t="s">
        <v>9218</v>
      </c>
      <c r="E1190" s="113">
        <v>18630858364</v>
      </c>
      <c r="F1190" s="267">
        <v>4</v>
      </c>
      <c r="G1190" s="268">
        <v>4175</v>
      </c>
      <c r="H1190" s="274">
        <v>40.79</v>
      </c>
      <c r="I1190" s="274" t="s">
        <v>2657</v>
      </c>
      <c r="J1190" s="113" t="s">
        <v>9219</v>
      </c>
      <c r="K1190" s="116">
        <v>36.69</v>
      </c>
      <c r="L1190" s="266" t="s">
        <v>3326</v>
      </c>
      <c r="M1190" s="266" t="s">
        <v>6803</v>
      </c>
      <c r="N1190" s="113" t="s">
        <v>66</v>
      </c>
      <c r="O1190" s="113"/>
      <c r="P1190" s="113"/>
      <c r="Q1190" s="113">
        <v>25402.97</v>
      </c>
      <c r="R1190" s="113">
        <v>932035</v>
      </c>
      <c r="S1190" s="121">
        <v>472035</v>
      </c>
      <c r="T1190" s="292">
        <f>R1190-S1190</f>
        <v>460000</v>
      </c>
      <c r="U1190" s="113"/>
      <c r="V1190" s="113"/>
      <c r="W1190" s="113"/>
      <c r="X1190" s="113"/>
      <c r="Y1190" s="113"/>
      <c r="Z1190" s="113"/>
      <c r="AA1190" s="275"/>
      <c r="AB1190" s="113"/>
      <c r="AC1190" s="113"/>
      <c r="AD1190" s="122"/>
      <c r="AE1190" s="133"/>
      <c r="AF1190" s="115"/>
      <c r="AG1190" s="133"/>
      <c r="AH1190" s="133"/>
      <c r="AI1190" s="132">
        <f t="shared" si="384"/>
        <v>472035</v>
      </c>
      <c r="AJ1190" s="132">
        <f t="shared" si="385"/>
        <v>472035</v>
      </c>
      <c r="AK1190" s="133">
        <f t="shared" si="386"/>
        <v>0</v>
      </c>
      <c r="AL1190" s="198"/>
      <c r="AM1190" s="133" t="s">
        <v>886</v>
      </c>
      <c r="AN1190" s="246">
        <v>44866</v>
      </c>
      <c r="AO1190" s="100"/>
      <c r="AP1190" s="96"/>
      <c r="AQ1190" s="96"/>
      <c r="AR1190" s="96"/>
      <c r="AS1190" s="96"/>
      <c r="AT1190" s="96"/>
      <c r="AU1190" s="96"/>
      <c r="AV1190" s="96"/>
      <c r="AW1190" s="96"/>
      <c r="AX1190" s="96"/>
      <c r="AY1190" s="96"/>
      <c r="AZ1190" s="96"/>
      <c r="BA1190" s="96"/>
      <c r="BB1190" s="96"/>
      <c r="BC1190" s="96"/>
      <c r="BD1190" s="96"/>
      <c r="BE1190" s="96"/>
    </row>
    <row r="1191" s="97" customFormat="1" customHeight="1" spans="1:57">
      <c r="A1191" s="115" t="s">
        <v>9220</v>
      </c>
      <c r="B1191" s="111" t="s">
        <v>9221</v>
      </c>
      <c r="C1191" s="554" t="s">
        <v>9222</v>
      </c>
      <c r="D1191" s="113" t="s">
        <v>9223</v>
      </c>
      <c r="E1191" s="113">
        <v>13598091221</v>
      </c>
      <c r="F1191" s="267">
        <v>4</v>
      </c>
      <c r="G1191" s="268">
        <v>4262</v>
      </c>
      <c r="H1191" s="274">
        <v>14.97</v>
      </c>
      <c r="I1191" s="274" t="s">
        <v>2657</v>
      </c>
      <c r="J1191" s="113" t="s">
        <v>9224</v>
      </c>
      <c r="K1191" s="116">
        <v>13.68</v>
      </c>
      <c r="L1191" s="266" t="s">
        <v>3326</v>
      </c>
      <c r="M1191" s="266" t="s">
        <v>9225</v>
      </c>
      <c r="N1191" s="113" t="s">
        <v>66</v>
      </c>
      <c r="O1191" s="113"/>
      <c r="P1191" s="113"/>
      <c r="Q1191" s="113">
        <v>26297.86</v>
      </c>
      <c r="R1191" s="113">
        <v>393679</v>
      </c>
      <c r="S1191" s="121">
        <v>203679</v>
      </c>
      <c r="T1191" s="292"/>
      <c r="U1191" s="113">
        <v>190000</v>
      </c>
      <c r="V1191" s="113">
        <v>973</v>
      </c>
      <c r="W1191" s="113">
        <v>550</v>
      </c>
      <c r="X1191" s="113"/>
      <c r="Y1191" s="113" t="s">
        <v>2669</v>
      </c>
      <c r="Z1191" s="113" t="s">
        <v>48</v>
      </c>
      <c r="AA1191" s="275">
        <v>44043</v>
      </c>
      <c r="AB1191" s="113"/>
      <c r="AC1191" s="113"/>
      <c r="AD1191" s="122"/>
      <c r="AE1191" s="133"/>
      <c r="AF1191" s="115"/>
      <c r="AG1191" s="133"/>
      <c r="AH1191" s="133"/>
      <c r="AI1191" s="132">
        <f t="shared" si="384"/>
        <v>395202</v>
      </c>
      <c r="AJ1191" s="132">
        <f t="shared" si="385"/>
        <v>395202</v>
      </c>
      <c r="AK1191" s="133">
        <f t="shared" si="386"/>
        <v>0</v>
      </c>
      <c r="AL1191" s="198"/>
      <c r="AM1191" s="133" t="s">
        <v>886</v>
      </c>
      <c r="AN1191" s="246">
        <v>44866</v>
      </c>
      <c r="AO1191" s="100"/>
      <c r="AP1191" s="96"/>
      <c r="AQ1191" s="96"/>
      <c r="AR1191" s="96"/>
      <c r="AS1191" s="96"/>
      <c r="AT1191" s="96"/>
      <c r="AU1191" s="96"/>
      <c r="AV1191" s="96"/>
      <c r="AW1191" s="96"/>
      <c r="AX1191" s="96"/>
      <c r="AY1191" s="96"/>
      <c r="AZ1191" s="96"/>
      <c r="BA1191" s="96"/>
      <c r="BB1191" s="96"/>
      <c r="BC1191" s="96"/>
      <c r="BD1191" s="96"/>
      <c r="BE1191" s="96"/>
    </row>
    <row r="1192" s="97" customFormat="1" customHeight="1" spans="1:57">
      <c r="A1192" s="115" t="s">
        <v>9226</v>
      </c>
      <c r="B1192" s="111" t="s">
        <v>9221</v>
      </c>
      <c r="C1192" s="554" t="s">
        <v>9222</v>
      </c>
      <c r="D1192" s="113" t="s">
        <v>9223</v>
      </c>
      <c r="E1192" s="113">
        <v>13598091221</v>
      </c>
      <c r="F1192" s="267">
        <v>4</v>
      </c>
      <c r="G1192" s="268">
        <v>4263</v>
      </c>
      <c r="H1192" s="274">
        <v>15.45</v>
      </c>
      <c r="I1192" s="274" t="s">
        <v>2657</v>
      </c>
      <c r="J1192" s="113" t="s">
        <v>9227</v>
      </c>
      <c r="K1192" s="116">
        <v>13.68</v>
      </c>
      <c r="L1192" s="266" t="s">
        <v>3326</v>
      </c>
      <c r="M1192" s="266" t="s">
        <v>6803</v>
      </c>
      <c r="N1192" s="113" t="s">
        <v>66</v>
      </c>
      <c r="O1192" s="113"/>
      <c r="P1192" s="113"/>
      <c r="Q1192" s="113">
        <v>26297.88</v>
      </c>
      <c r="R1192" s="113">
        <v>359755</v>
      </c>
      <c r="S1192" s="121">
        <v>189755</v>
      </c>
      <c r="T1192" s="292">
        <f>R1192-S1192</f>
        <v>170000</v>
      </c>
      <c r="U1192" s="113"/>
      <c r="V1192" s="113"/>
      <c r="W1192" s="113"/>
      <c r="X1192" s="113"/>
      <c r="Y1192" s="113"/>
      <c r="Z1192" s="113"/>
      <c r="AA1192" s="275"/>
      <c r="AB1192" s="113"/>
      <c r="AC1192" s="113"/>
      <c r="AD1192" s="122"/>
      <c r="AE1192" s="133"/>
      <c r="AF1192" s="115"/>
      <c r="AG1192" s="133"/>
      <c r="AH1192" s="133"/>
      <c r="AI1192" s="132">
        <f t="shared" si="384"/>
        <v>189755</v>
      </c>
      <c r="AJ1192" s="132">
        <f t="shared" si="385"/>
        <v>189755</v>
      </c>
      <c r="AK1192" s="133">
        <f t="shared" si="386"/>
        <v>0</v>
      </c>
      <c r="AL1192" s="198" t="s">
        <v>9228</v>
      </c>
      <c r="AM1192" s="133" t="s">
        <v>886</v>
      </c>
      <c r="AN1192" s="246">
        <v>44866</v>
      </c>
      <c r="AO1192" s="100"/>
      <c r="AP1192" s="96"/>
      <c r="AQ1192" s="96"/>
      <c r="AR1192" s="96"/>
      <c r="AS1192" s="96"/>
      <c r="AT1192" s="96"/>
      <c r="AU1192" s="96"/>
      <c r="AV1192" s="96"/>
      <c r="AW1192" s="96"/>
      <c r="AX1192" s="96"/>
      <c r="AY1192" s="96"/>
      <c r="AZ1192" s="96"/>
      <c r="BA1192" s="96"/>
      <c r="BB1192" s="96"/>
      <c r="BC1192" s="96"/>
      <c r="BD1192" s="96"/>
      <c r="BE1192" s="96"/>
    </row>
    <row r="1193" s="97" customFormat="1" customHeight="1" spans="1:57">
      <c r="A1193" s="115" t="s">
        <v>9229</v>
      </c>
      <c r="B1193" s="111" t="s">
        <v>9230</v>
      </c>
      <c r="C1193" s="111" t="s">
        <v>9231</v>
      </c>
      <c r="D1193" s="113" t="s">
        <v>9232</v>
      </c>
      <c r="E1193" s="113">
        <v>18336301006</v>
      </c>
      <c r="F1193" s="267">
        <v>3</v>
      </c>
      <c r="G1193" s="268">
        <v>3606</v>
      </c>
      <c r="H1193" s="274">
        <v>15.14</v>
      </c>
      <c r="I1193" s="274" t="s">
        <v>2657</v>
      </c>
      <c r="J1193" s="113" t="s">
        <v>9233</v>
      </c>
      <c r="K1193" s="116">
        <v>14.71</v>
      </c>
      <c r="L1193" s="266" t="s">
        <v>4422</v>
      </c>
      <c r="M1193" s="266" t="s">
        <v>5064</v>
      </c>
      <c r="N1193" s="113" t="s">
        <v>66</v>
      </c>
      <c r="O1193" s="113"/>
      <c r="P1193" s="113"/>
      <c r="Q1193" s="113">
        <v>31905.75</v>
      </c>
      <c r="R1193" s="113">
        <v>483053</v>
      </c>
      <c r="S1193" s="121">
        <v>243053</v>
      </c>
      <c r="T1193" s="292"/>
      <c r="U1193" s="113">
        <v>240000</v>
      </c>
      <c r="V1193" s="113">
        <v>984</v>
      </c>
      <c r="W1193" s="113">
        <v>550</v>
      </c>
      <c r="X1193" s="113"/>
      <c r="Y1193" s="113" t="s">
        <v>2669</v>
      </c>
      <c r="Z1193" s="113" t="s">
        <v>48</v>
      </c>
      <c r="AA1193" s="275">
        <v>44050</v>
      </c>
      <c r="AB1193" s="113"/>
      <c r="AC1193" s="113">
        <f>2778-550</f>
        <v>2228</v>
      </c>
      <c r="AD1193" s="122"/>
      <c r="AE1193" s="133"/>
      <c r="AF1193" s="115"/>
      <c r="AG1193" s="133"/>
      <c r="AH1193" s="133"/>
      <c r="AI1193" s="132">
        <f t="shared" si="384"/>
        <v>486815</v>
      </c>
      <c r="AJ1193" s="132">
        <f t="shared" si="385"/>
        <v>484587</v>
      </c>
      <c r="AK1193" s="133">
        <f t="shared" si="386"/>
        <v>2228</v>
      </c>
      <c r="AL1193" s="198" t="s">
        <v>9234</v>
      </c>
      <c r="AM1193" s="133" t="s">
        <v>886</v>
      </c>
      <c r="AN1193" s="246">
        <v>44866</v>
      </c>
      <c r="AO1193" s="100"/>
      <c r="AP1193" s="96"/>
      <c r="AQ1193" s="96"/>
      <c r="AR1193" s="96"/>
      <c r="AS1193" s="96"/>
      <c r="AT1193" s="96"/>
      <c r="AU1193" s="96"/>
      <c r="AV1193" s="96"/>
      <c r="AW1193" s="96"/>
      <c r="AX1193" s="96"/>
      <c r="AY1193" s="96"/>
      <c r="AZ1193" s="96"/>
      <c r="BA1193" s="96"/>
      <c r="BB1193" s="96"/>
      <c r="BC1193" s="96"/>
      <c r="BD1193" s="96"/>
      <c r="BE1193" s="96"/>
    </row>
    <row r="1194" s="97" customFormat="1" customHeight="1" spans="1:57">
      <c r="A1194" s="115" t="s">
        <v>9235</v>
      </c>
      <c r="B1194" s="111" t="s">
        <v>9236</v>
      </c>
      <c r="C1194" s="111" t="s">
        <v>9237</v>
      </c>
      <c r="D1194" s="113"/>
      <c r="E1194" s="113">
        <v>15890198898</v>
      </c>
      <c r="F1194" s="267">
        <v>3</v>
      </c>
      <c r="G1194" s="268">
        <v>3729</v>
      </c>
      <c r="H1194" s="274">
        <v>14.17</v>
      </c>
      <c r="I1194" s="274" t="s">
        <v>2657</v>
      </c>
      <c r="J1194" s="113" t="s">
        <v>9238</v>
      </c>
      <c r="K1194" s="116">
        <v>12.82</v>
      </c>
      <c r="L1194" s="266" t="s">
        <v>2955</v>
      </c>
      <c r="M1194" s="266"/>
      <c r="N1194" s="113" t="s">
        <v>66</v>
      </c>
      <c r="O1194" s="113"/>
      <c r="P1194" s="113"/>
      <c r="Q1194" s="113"/>
      <c r="R1194" s="113"/>
      <c r="S1194" s="121">
        <v>30000</v>
      </c>
      <c r="T1194" s="292">
        <f t="shared" ref="T1194:T1202" si="387">R1194-S1194</f>
        <v>-30000</v>
      </c>
      <c r="U1194" s="113"/>
      <c r="V1194" s="113"/>
      <c r="W1194" s="113"/>
      <c r="X1194" s="113"/>
      <c r="Y1194" s="113"/>
      <c r="Z1194" s="113"/>
      <c r="AA1194" s="275"/>
      <c r="AB1194" s="113"/>
      <c r="AC1194" s="113"/>
      <c r="AD1194" s="122"/>
      <c r="AE1194" s="133"/>
      <c r="AF1194" s="115"/>
      <c r="AG1194" s="133"/>
      <c r="AH1194" s="133"/>
      <c r="AI1194" s="132">
        <f t="shared" si="384"/>
        <v>30000</v>
      </c>
      <c r="AJ1194" s="132">
        <f t="shared" si="385"/>
        <v>30000</v>
      </c>
      <c r="AK1194" s="133">
        <f t="shared" si="386"/>
        <v>0</v>
      </c>
      <c r="AL1194" s="198"/>
      <c r="AM1194" s="133" t="s">
        <v>886</v>
      </c>
      <c r="AN1194" s="246">
        <v>44866</v>
      </c>
      <c r="AO1194" s="100"/>
      <c r="AP1194" s="96"/>
      <c r="AQ1194" s="96"/>
      <c r="AR1194" s="96"/>
      <c r="AS1194" s="96"/>
      <c r="AT1194" s="96"/>
      <c r="AU1194" s="96"/>
      <c r="AV1194" s="96"/>
      <c r="AW1194" s="96"/>
      <c r="AX1194" s="96"/>
      <c r="AY1194" s="96"/>
      <c r="AZ1194" s="96"/>
      <c r="BA1194" s="96"/>
      <c r="BB1194" s="96"/>
      <c r="BC1194" s="96"/>
      <c r="BD1194" s="96"/>
      <c r="BE1194" s="96"/>
    </row>
    <row r="1195" s="97" customFormat="1" customHeight="1" spans="1:57">
      <c r="A1195" s="115" t="s">
        <v>9239</v>
      </c>
      <c r="B1195" s="111" t="s">
        <v>9240</v>
      </c>
      <c r="C1195" s="111" t="s">
        <v>9241</v>
      </c>
      <c r="D1195" s="113" t="s">
        <v>9242</v>
      </c>
      <c r="E1195" s="113">
        <v>18638150518</v>
      </c>
      <c r="F1195" s="267">
        <v>4</v>
      </c>
      <c r="G1195" s="268">
        <v>4181</v>
      </c>
      <c r="H1195" s="274">
        <v>51.7</v>
      </c>
      <c r="I1195" s="274" t="s">
        <v>2657</v>
      </c>
      <c r="J1195" s="113" t="s">
        <v>9243</v>
      </c>
      <c r="K1195" s="116">
        <v>55.21</v>
      </c>
      <c r="L1195" s="266" t="s">
        <v>2807</v>
      </c>
      <c r="M1195" s="266" t="s">
        <v>9244</v>
      </c>
      <c r="N1195" s="113" t="s">
        <v>66</v>
      </c>
      <c r="O1195" s="113"/>
      <c r="P1195" s="113"/>
      <c r="Q1195" s="113">
        <v>25659.57</v>
      </c>
      <c r="R1195" s="113">
        <v>1326600</v>
      </c>
      <c r="S1195" s="121">
        <v>726600</v>
      </c>
      <c r="T1195" s="292">
        <f t="shared" si="387"/>
        <v>600000</v>
      </c>
      <c r="U1195" s="113"/>
      <c r="V1195" s="113">
        <v>3360</v>
      </c>
      <c r="W1195" s="113">
        <v>560</v>
      </c>
      <c r="X1195" s="113"/>
      <c r="Y1195" s="113"/>
      <c r="Z1195" s="113"/>
      <c r="AA1195" s="275"/>
      <c r="AB1195" s="113"/>
      <c r="AC1195" s="113"/>
      <c r="AD1195" s="122"/>
      <c r="AE1195" s="133">
        <v>13845</v>
      </c>
      <c r="AF1195" s="115"/>
      <c r="AG1195" s="133"/>
      <c r="AH1195" s="133"/>
      <c r="AI1195" s="132">
        <f t="shared" si="384"/>
        <v>744365</v>
      </c>
      <c r="AJ1195" s="132">
        <f t="shared" si="385"/>
        <v>730520</v>
      </c>
      <c r="AK1195" s="133">
        <f t="shared" si="386"/>
        <v>13845</v>
      </c>
      <c r="AL1195" s="198" t="s">
        <v>9245</v>
      </c>
      <c r="AM1195" s="133" t="s">
        <v>886</v>
      </c>
      <c r="AN1195" s="246">
        <v>44866</v>
      </c>
      <c r="AO1195" s="100"/>
      <c r="AP1195" s="96"/>
      <c r="AQ1195" s="96"/>
      <c r="AR1195" s="96"/>
      <c r="AS1195" s="96"/>
      <c r="AT1195" s="96"/>
      <c r="AU1195" s="96"/>
      <c r="AV1195" s="96"/>
      <c r="AW1195" s="96"/>
      <c r="AX1195" s="96"/>
      <c r="AY1195" s="96"/>
      <c r="AZ1195" s="96"/>
      <c r="BA1195" s="96"/>
      <c r="BB1195" s="96"/>
      <c r="BC1195" s="96"/>
      <c r="BD1195" s="96"/>
      <c r="BE1195" s="96"/>
    </row>
    <row r="1196" s="97" customFormat="1" customHeight="1" spans="1:57">
      <c r="A1196" s="115" t="s">
        <v>9246</v>
      </c>
      <c r="B1196" s="111" t="s">
        <v>9247</v>
      </c>
      <c r="C1196" s="554" t="s">
        <v>9248</v>
      </c>
      <c r="D1196" s="113"/>
      <c r="E1196" s="113">
        <v>15716691066</v>
      </c>
      <c r="F1196" s="267">
        <v>4</v>
      </c>
      <c r="G1196" s="268">
        <v>4510</v>
      </c>
      <c r="H1196" s="274">
        <v>9.95</v>
      </c>
      <c r="I1196" s="274" t="s">
        <v>2657</v>
      </c>
      <c r="J1196" s="113" t="s">
        <v>9249</v>
      </c>
      <c r="K1196" s="116">
        <v>10.1</v>
      </c>
      <c r="L1196" s="266" t="s">
        <v>6427</v>
      </c>
      <c r="M1196" s="266" t="s">
        <v>3319</v>
      </c>
      <c r="N1196" s="113" t="s">
        <v>56</v>
      </c>
      <c r="O1196" s="113"/>
      <c r="P1196" s="113"/>
      <c r="Q1196" s="113">
        <v>26968.12</v>
      </c>
      <c r="R1196" s="113">
        <v>268333</v>
      </c>
      <c r="S1196" s="121">
        <v>268333</v>
      </c>
      <c r="T1196" s="292">
        <f t="shared" si="387"/>
        <v>0</v>
      </c>
      <c r="U1196" s="113"/>
      <c r="V1196" s="113">
        <v>646</v>
      </c>
      <c r="W1196" s="113">
        <v>550</v>
      </c>
      <c r="X1196" s="113">
        <v>2849</v>
      </c>
      <c r="Y1196" s="113" t="s">
        <v>2669</v>
      </c>
      <c r="Z1196" s="113"/>
      <c r="AA1196" s="275"/>
      <c r="AB1196" s="113"/>
      <c r="AC1196" s="113"/>
      <c r="AD1196" s="122"/>
      <c r="AE1196" s="133"/>
      <c r="AF1196" s="115"/>
      <c r="AG1196" s="133"/>
      <c r="AH1196" s="133"/>
      <c r="AI1196" s="132">
        <f t="shared" ref="AI1196:AI1203" si="388">S1196+U1196+V1196+W1196+X1196+AC1196+AD1196+AE1196</f>
        <v>272378</v>
      </c>
      <c r="AJ1196" s="132">
        <f t="shared" ref="AJ1196:AJ1203" si="389">S1196+U1196+V1196+W1196+X1196</f>
        <v>272378</v>
      </c>
      <c r="AK1196" s="133">
        <f t="shared" ref="AK1196:AK1203" si="390">AI1196-AJ1196</f>
        <v>0</v>
      </c>
      <c r="AL1196" s="198" t="s">
        <v>9250</v>
      </c>
      <c r="AM1196" s="133" t="s">
        <v>886</v>
      </c>
      <c r="AN1196" s="246">
        <v>44866</v>
      </c>
      <c r="AO1196" s="100"/>
      <c r="AP1196" s="96"/>
      <c r="AQ1196" s="96"/>
      <c r="AR1196" s="96"/>
      <c r="AS1196" s="96"/>
      <c r="AT1196" s="96"/>
      <c r="AU1196" s="96"/>
      <c r="AV1196" s="96"/>
      <c r="AW1196" s="96"/>
      <c r="AX1196" s="96"/>
      <c r="AY1196" s="96"/>
      <c r="AZ1196" s="96"/>
      <c r="BA1196" s="96"/>
      <c r="BB1196" s="96"/>
      <c r="BC1196" s="96"/>
      <c r="BD1196" s="96"/>
      <c r="BE1196" s="96"/>
    </row>
    <row r="1197" s="97" customFormat="1" customHeight="1" spans="1:57">
      <c r="A1197" s="115" t="s">
        <v>9251</v>
      </c>
      <c r="B1197" s="111" t="s">
        <v>9252</v>
      </c>
      <c r="C1197" s="554" t="s">
        <v>9253</v>
      </c>
      <c r="D1197" s="113" t="s">
        <v>9254</v>
      </c>
      <c r="E1197" s="113">
        <v>15565133669</v>
      </c>
      <c r="F1197" s="267">
        <v>4</v>
      </c>
      <c r="G1197" s="268">
        <v>4464</v>
      </c>
      <c r="H1197" s="274">
        <v>12.54</v>
      </c>
      <c r="I1197" s="274" t="s">
        <v>2657</v>
      </c>
      <c r="J1197" s="113" t="s">
        <v>9255</v>
      </c>
      <c r="K1197" s="116">
        <v>9.99</v>
      </c>
      <c r="L1197" s="266" t="s">
        <v>5737</v>
      </c>
      <c r="M1197" s="266" t="s">
        <v>5831</v>
      </c>
      <c r="N1197" s="113" t="s">
        <v>66</v>
      </c>
      <c r="O1197" s="113"/>
      <c r="P1197" s="113"/>
      <c r="Q1197" s="113">
        <v>27683.68</v>
      </c>
      <c r="R1197" s="113">
        <v>276560</v>
      </c>
      <c r="S1197" s="121">
        <v>146560</v>
      </c>
      <c r="T1197" s="292">
        <f t="shared" si="387"/>
        <v>130000</v>
      </c>
      <c r="U1197" s="113"/>
      <c r="V1197" s="113"/>
      <c r="W1197" s="113"/>
      <c r="X1197" s="113"/>
      <c r="Y1197" s="113"/>
      <c r="Z1197" s="113"/>
      <c r="AA1197" s="275"/>
      <c r="AB1197" s="113"/>
      <c r="AC1197" s="113"/>
      <c r="AD1197" s="122"/>
      <c r="AE1197" s="133"/>
      <c r="AF1197" s="115"/>
      <c r="AG1197" s="133"/>
      <c r="AH1197" s="133"/>
      <c r="AI1197" s="132">
        <f t="shared" si="388"/>
        <v>146560</v>
      </c>
      <c r="AJ1197" s="132">
        <f t="shared" si="389"/>
        <v>146560</v>
      </c>
      <c r="AK1197" s="133">
        <f t="shared" si="390"/>
        <v>0</v>
      </c>
      <c r="AL1197" s="198"/>
      <c r="AM1197" s="133" t="s">
        <v>886</v>
      </c>
      <c r="AN1197" s="246">
        <v>44866</v>
      </c>
      <c r="AO1197" s="100"/>
      <c r="AP1197" s="96"/>
      <c r="AQ1197" s="96"/>
      <c r="AR1197" s="96"/>
      <c r="AS1197" s="96"/>
      <c r="AT1197" s="96"/>
      <c r="AU1197" s="96"/>
      <c r="AV1197" s="96"/>
      <c r="AW1197" s="96"/>
      <c r="AX1197" s="96"/>
      <c r="AY1197" s="96"/>
      <c r="AZ1197" s="96"/>
      <c r="BA1197" s="96"/>
      <c r="BB1197" s="96"/>
      <c r="BC1197" s="96"/>
      <c r="BD1197" s="96"/>
      <c r="BE1197" s="96"/>
    </row>
    <row r="1198" s="97" customFormat="1" customHeight="1" spans="1:57">
      <c r="A1198" s="115" t="s">
        <v>9256</v>
      </c>
      <c r="B1198" s="111" t="s">
        <v>9257</v>
      </c>
      <c r="C1198" s="554" t="s">
        <v>9258</v>
      </c>
      <c r="D1198" s="113" t="s">
        <v>9259</v>
      </c>
      <c r="E1198" s="113">
        <v>13603715863</v>
      </c>
      <c r="F1198" s="267">
        <v>4</v>
      </c>
      <c r="G1198" s="268">
        <v>4409</v>
      </c>
      <c r="H1198" s="274">
        <v>14.87</v>
      </c>
      <c r="I1198" s="274" t="s">
        <v>2657</v>
      </c>
      <c r="J1198" s="113" t="s">
        <v>9260</v>
      </c>
      <c r="K1198" s="116">
        <v>13.32</v>
      </c>
      <c r="L1198" s="266" t="s">
        <v>2868</v>
      </c>
      <c r="M1198" s="266" t="s">
        <v>2868</v>
      </c>
      <c r="N1198" s="113" t="s">
        <v>66</v>
      </c>
      <c r="O1198" s="113"/>
      <c r="P1198" s="113"/>
      <c r="Q1198" s="113">
        <v>26820.5</v>
      </c>
      <c r="R1198" s="113">
        <v>357249</v>
      </c>
      <c r="S1198" s="121">
        <v>187249</v>
      </c>
      <c r="T1198" s="292">
        <f t="shared" si="387"/>
        <v>170000</v>
      </c>
      <c r="U1198" s="113"/>
      <c r="V1198" s="113"/>
      <c r="W1198" s="113"/>
      <c r="X1198" s="113"/>
      <c r="Y1198" s="113"/>
      <c r="Z1198" s="113"/>
      <c r="AA1198" s="275"/>
      <c r="AB1198" s="113"/>
      <c r="AC1198" s="113"/>
      <c r="AD1198" s="122"/>
      <c r="AE1198" s="133"/>
      <c r="AF1198" s="115"/>
      <c r="AG1198" s="133"/>
      <c r="AH1198" s="133"/>
      <c r="AI1198" s="132">
        <f t="shared" si="388"/>
        <v>187249</v>
      </c>
      <c r="AJ1198" s="132">
        <f t="shared" si="389"/>
        <v>187249</v>
      </c>
      <c r="AK1198" s="133">
        <f t="shared" si="390"/>
        <v>0</v>
      </c>
      <c r="AL1198" s="198" t="s">
        <v>9261</v>
      </c>
      <c r="AM1198" s="133" t="s">
        <v>886</v>
      </c>
      <c r="AN1198" s="246">
        <v>44866</v>
      </c>
      <c r="AO1198" s="100"/>
      <c r="AP1198" s="93"/>
      <c r="AQ1198" s="93"/>
      <c r="AR1198" s="93"/>
      <c r="AS1198" s="93"/>
      <c r="AT1198" s="93"/>
      <c r="AU1198" s="93"/>
      <c r="AV1198" s="93"/>
      <c r="AW1198" s="93"/>
      <c r="AX1198" s="93"/>
      <c r="AY1198" s="93"/>
      <c r="AZ1198" s="93"/>
      <c r="BA1198" s="93"/>
      <c r="BB1198" s="93"/>
      <c r="BC1198" s="93"/>
      <c r="BD1198" s="93"/>
      <c r="BE1198" s="93"/>
    </row>
    <row r="1199" s="97" customFormat="1" customHeight="1" spans="1:57">
      <c r="A1199" s="115" t="s">
        <v>9262</v>
      </c>
      <c r="B1199" s="111" t="s">
        <v>9263</v>
      </c>
      <c r="C1199" s="554" t="s">
        <v>9264</v>
      </c>
      <c r="D1199" s="113" t="s">
        <v>9265</v>
      </c>
      <c r="E1199" s="113">
        <v>13803945337</v>
      </c>
      <c r="F1199" s="267">
        <v>1</v>
      </c>
      <c r="G1199" s="268">
        <v>1757</v>
      </c>
      <c r="H1199" s="274">
        <v>17.68</v>
      </c>
      <c r="I1199" s="274" t="s">
        <v>2657</v>
      </c>
      <c r="J1199" s="113" t="s">
        <v>9266</v>
      </c>
      <c r="K1199" s="116">
        <v>18.47</v>
      </c>
      <c r="L1199" s="266" t="s">
        <v>3634</v>
      </c>
      <c r="M1199" s="266" t="s">
        <v>7467</v>
      </c>
      <c r="N1199" s="113" t="s">
        <v>66</v>
      </c>
      <c r="O1199" s="113"/>
      <c r="P1199" s="113"/>
      <c r="Q1199" s="113">
        <v>47002.11</v>
      </c>
      <c r="R1199" s="113">
        <v>868129</v>
      </c>
      <c r="S1199" s="121">
        <v>438129</v>
      </c>
      <c r="T1199" s="292">
        <f t="shared" si="387"/>
        <v>430000</v>
      </c>
      <c r="U1199" s="113"/>
      <c r="V1199" s="113"/>
      <c r="W1199" s="113"/>
      <c r="X1199" s="113"/>
      <c r="Y1199" s="113"/>
      <c r="Z1199" s="113"/>
      <c r="AA1199" s="275"/>
      <c r="AB1199" s="113"/>
      <c r="AC1199" s="113"/>
      <c r="AD1199" s="122"/>
      <c r="AE1199" s="133"/>
      <c r="AF1199" s="115"/>
      <c r="AG1199" s="133"/>
      <c r="AH1199" s="133"/>
      <c r="AI1199" s="132">
        <f t="shared" si="388"/>
        <v>438129</v>
      </c>
      <c r="AJ1199" s="132">
        <f t="shared" si="389"/>
        <v>438129</v>
      </c>
      <c r="AK1199" s="133">
        <f t="shared" si="390"/>
        <v>0</v>
      </c>
      <c r="AL1199" s="198"/>
      <c r="AM1199" s="133" t="s">
        <v>886</v>
      </c>
      <c r="AN1199" s="246">
        <v>44866</v>
      </c>
      <c r="AO1199" s="100"/>
      <c r="AP1199" s="96"/>
      <c r="AQ1199" s="96"/>
      <c r="AR1199" s="96"/>
      <c r="AS1199" s="96"/>
      <c r="AT1199" s="96"/>
      <c r="AU1199" s="96"/>
      <c r="AV1199" s="96"/>
      <c r="AW1199" s="96"/>
      <c r="AX1199" s="96"/>
      <c r="AY1199" s="96"/>
      <c r="AZ1199" s="96"/>
      <c r="BA1199" s="96"/>
      <c r="BB1199" s="96"/>
      <c r="BC1199" s="96"/>
      <c r="BD1199" s="96"/>
      <c r="BE1199" s="96"/>
    </row>
    <row r="1200" s="97" customFormat="1" customHeight="1" spans="1:57">
      <c r="A1200" s="115" t="s">
        <v>9267</v>
      </c>
      <c r="B1200" s="111" t="s">
        <v>9268</v>
      </c>
      <c r="C1200" s="111" t="s">
        <v>9269</v>
      </c>
      <c r="D1200" s="113" t="s">
        <v>9265</v>
      </c>
      <c r="E1200" s="113">
        <v>15517458927</v>
      </c>
      <c r="F1200" s="267">
        <v>3</v>
      </c>
      <c r="G1200" s="268">
        <v>3365</v>
      </c>
      <c r="H1200" s="274">
        <v>25.45</v>
      </c>
      <c r="I1200" s="274" t="s">
        <v>2657</v>
      </c>
      <c r="J1200" s="113" t="s">
        <v>9270</v>
      </c>
      <c r="K1200" s="116">
        <v>23.67</v>
      </c>
      <c r="L1200" s="266" t="s">
        <v>3634</v>
      </c>
      <c r="M1200" s="266" t="s">
        <v>7467</v>
      </c>
      <c r="N1200" s="113" t="s">
        <v>66</v>
      </c>
      <c r="O1200" s="113"/>
      <c r="P1200" s="113"/>
      <c r="Q1200" s="113">
        <v>31202.03</v>
      </c>
      <c r="R1200" s="113">
        <v>738552</v>
      </c>
      <c r="S1200" s="121">
        <v>378552</v>
      </c>
      <c r="T1200" s="292">
        <f t="shared" si="387"/>
        <v>360000</v>
      </c>
      <c r="U1200" s="113"/>
      <c r="V1200" s="113"/>
      <c r="W1200" s="113"/>
      <c r="X1200" s="113"/>
      <c r="Y1200" s="113"/>
      <c r="Z1200" s="113"/>
      <c r="AA1200" s="275"/>
      <c r="AB1200" s="113"/>
      <c r="AC1200" s="113"/>
      <c r="AD1200" s="122"/>
      <c r="AE1200" s="133"/>
      <c r="AF1200" s="115"/>
      <c r="AG1200" s="133"/>
      <c r="AH1200" s="133"/>
      <c r="AI1200" s="132">
        <f t="shared" si="388"/>
        <v>378552</v>
      </c>
      <c r="AJ1200" s="132">
        <f t="shared" si="389"/>
        <v>378552</v>
      </c>
      <c r="AK1200" s="133">
        <f t="shared" si="390"/>
        <v>0</v>
      </c>
      <c r="AL1200" s="198"/>
      <c r="AM1200" s="133" t="s">
        <v>886</v>
      </c>
      <c r="AN1200" s="246">
        <v>44866</v>
      </c>
      <c r="AO1200" s="100"/>
      <c r="AP1200" s="96"/>
      <c r="AQ1200" s="96"/>
      <c r="AR1200" s="96"/>
      <c r="AS1200" s="96"/>
      <c r="AT1200" s="96"/>
      <c r="AU1200" s="96"/>
      <c r="AV1200" s="96"/>
      <c r="AW1200" s="96"/>
      <c r="AX1200" s="96"/>
      <c r="AY1200" s="96"/>
      <c r="AZ1200" s="96"/>
      <c r="BA1200" s="96"/>
      <c r="BB1200" s="96"/>
      <c r="BC1200" s="96"/>
      <c r="BD1200" s="96"/>
      <c r="BE1200" s="96"/>
    </row>
    <row r="1201" s="97" customFormat="1" customHeight="1" spans="1:57">
      <c r="A1201" s="115" t="s">
        <v>9271</v>
      </c>
      <c r="B1201" s="111" t="s">
        <v>9272</v>
      </c>
      <c r="C1201" s="111" t="s">
        <v>9273</v>
      </c>
      <c r="D1201" s="113" t="s">
        <v>9274</v>
      </c>
      <c r="E1201" s="113">
        <v>13781250461</v>
      </c>
      <c r="F1201" s="267">
        <v>4</v>
      </c>
      <c r="G1201" s="268">
        <v>4109</v>
      </c>
      <c r="H1201" s="274">
        <v>18.23</v>
      </c>
      <c r="I1201" s="274" t="s">
        <v>2657</v>
      </c>
      <c r="J1201" s="113" t="s">
        <v>9275</v>
      </c>
      <c r="K1201" s="116">
        <v>17.72</v>
      </c>
      <c r="L1201" s="266" t="s">
        <v>3008</v>
      </c>
      <c r="M1201" s="266" t="s">
        <v>3319</v>
      </c>
      <c r="N1201" s="113" t="s">
        <v>66</v>
      </c>
      <c r="O1201" s="113"/>
      <c r="P1201" s="113"/>
      <c r="Q1201" s="113">
        <v>26705.14</v>
      </c>
      <c r="R1201" s="113">
        <v>486835</v>
      </c>
      <c r="S1201" s="121">
        <v>246835</v>
      </c>
      <c r="T1201" s="292">
        <f t="shared" si="387"/>
        <v>240000</v>
      </c>
      <c r="U1201" s="113"/>
      <c r="V1201" s="113">
        <v>1184</v>
      </c>
      <c r="W1201" s="113">
        <v>550</v>
      </c>
      <c r="X1201" s="113"/>
      <c r="Y1201" s="113"/>
      <c r="Z1201" s="113"/>
      <c r="AA1201" s="275"/>
      <c r="AB1201" s="113"/>
      <c r="AC1201" s="113"/>
      <c r="AD1201" s="122"/>
      <c r="AE1201" s="133"/>
      <c r="AF1201" s="115"/>
      <c r="AG1201" s="133"/>
      <c r="AH1201" s="133"/>
      <c r="AI1201" s="132">
        <f t="shared" si="388"/>
        <v>248569</v>
      </c>
      <c r="AJ1201" s="132">
        <f t="shared" si="389"/>
        <v>248569</v>
      </c>
      <c r="AK1201" s="133">
        <f t="shared" si="390"/>
        <v>0</v>
      </c>
      <c r="AL1201" s="198"/>
      <c r="AM1201" s="133" t="s">
        <v>886</v>
      </c>
      <c r="AN1201" s="246">
        <v>44866</v>
      </c>
      <c r="AO1201" s="100"/>
      <c r="AP1201" s="96"/>
      <c r="AQ1201" s="96"/>
      <c r="AR1201" s="96"/>
      <c r="AS1201" s="96"/>
      <c r="AT1201" s="96"/>
      <c r="AU1201" s="96"/>
      <c r="AV1201" s="96"/>
      <c r="AW1201" s="96"/>
      <c r="AX1201" s="96"/>
      <c r="AY1201" s="96"/>
      <c r="AZ1201" s="96"/>
      <c r="BA1201" s="96"/>
      <c r="BB1201" s="96"/>
      <c r="BC1201" s="96"/>
      <c r="BD1201" s="96"/>
      <c r="BE1201" s="96"/>
    </row>
    <row r="1202" s="97" customFormat="1" customHeight="1" spans="1:57">
      <c r="A1202" s="115" t="s">
        <v>9276</v>
      </c>
      <c r="B1202" s="111" t="s">
        <v>9277</v>
      </c>
      <c r="C1202" s="111" t="s">
        <v>9278</v>
      </c>
      <c r="D1202" s="113" t="s">
        <v>9279</v>
      </c>
      <c r="E1202" s="113">
        <v>15188322735</v>
      </c>
      <c r="F1202" s="267">
        <v>3</v>
      </c>
      <c r="G1202" s="268">
        <v>3567</v>
      </c>
      <c r="H1202" s="274">
        <v>19.32</v>
      </c>
      <c r="I1202" s="274" t="s">
        <v>2657</v>
      </c>
      <c r="J1202" s="113" t="s">
        <v>9280</v>
      </c>
      <c r="K1202" s="116">
        <v>16.48</v>
      </c>
      <c r="L1202" s="266" t="s">
        <v>4559</v>
      </c>
      <c r="M1202" s="266" t="s">
        <v>5427</v>
      </c>
      <c r="N1202" s="113" t="s">
        <v>66</v>
      </c>
      <c r="O1202" s="113"/>
      <c r="P1202" s="113"/>
      <c r="Q1202" s="113">
        <v>32083.56</v>
      </c>
      <c r="R1202" s="113">
        <v>528737</v>
      </c>
      <c r="S1202" s="121">
        <v>268737</v>
      </c>
      <c r="T1202" s="292">
        <f t="shared" si="387"/>
        <v>260000</v>
      </c>
      <c r="U1202" s="113"/>
      <c r="V1202" s="113"/>
      <c r="W1202" s="113"/>
      <c r="X1202" s="113"/>
      <c r="Y1202" s="113"/>
      <c r="Z1202" s="113"/>
      <c r="AA1202" s="275"/>
      <c r="AB1202" s="113"/>
      <c r="AC1202" s="113"/>
      <c r="AD1202" s="122"/>
      <c r="AE1202" s="133"/>
      <c r="AF1202" s="115"/>
      <c r="AG1202" s="133"/>
      <c r="AH1202" s="133"/>
      <c r="AI1202" s="132">
        <f t="shared" si="388"/>
        <v>268737</v>
      </c>
      <c r="AJ1202" s="132">
        <f t="shared" si="389"/>
        <v>268737</v>
      </c>
      <c r="AK1202" s="133">
        <f t="shared" si="390"/>
        <v>0</v>
      </c>
      <c r="AL1202" s="198"/>
      <c r="AM1202" s="133" t="s">
        <v>886</v>
      </c>
      <c r="AN1202" s="246">
        <v>44866</v>
      </c>
      <c r="AO1202" s="100"/>
      <c r="AP1202" s="96"/>
      <c r="AQ1202" s="96"/>
      <c r="AR1202" s="96"/>
      <c r="AS1202" s="96"/>
      <c r="AT1202" s="96"/>
      <c r="AU1202" s="96"/>
      <c r="AV1202" s="96"/>
      <c r="AW1202" s="96"/>
      <c r="AX1202" s="96"/>
      <c r="AY1202" s="96"/>
      <c r="AZ1202" s="96"/>
      <c r="BA1202" s="96"/>
      <c r="BB1202" s="96"/>
      <c r="BC1202" s="96"/>
      <c r="BD1202" s="96"/>
      <c r="BE1202" s="96"/>
    </row>
    <row r="1203" s="97" customFormat="1" customHeight="1" spans="1:57">
      <c r="A1203" s="115" t="s">
        <v>9281</v>
      </c>
      <c r="B1203" s="111" t="s">
        <v>9282</v>
      </c>
      <c r="C1203" s="111" t="s">
        <v>9283</v>
      </c>
      <c r="D1203" s="113" t="s">
        <v>9284</v>
      </c>
      <c r="E1203" s="113">
        <v>15838082277</v>
      </c>
      <c r="F1203" s="267">
        <v>3</v>
      </c>
      <c r="G1203" s="268">
        <v>3343</v>
      </c>
      <c r="H1203" s="274">
        <v>21.89</v>
      </c>
      <c r="I1203" s="274" t="s">
        <v>2657</v>
      </c>
      <c r="J1203" s="113" t="s">
        <v>9285</v>
      </c>
      <c r="K1203" s="116">
        <v>18.48</v>
      </c>
      <c r="L1203" s="266" t="s">
        <v>3023</v>
      </c>
      <c r="M1203" s="266" t="s">
        <v>7001</v>
      </c>
      <c r="N1203" s="113" t="s">
        <v>66</v>
      </c>
      <c r="O1203" s="113"/>
      <c r="P1203" s="113"/>
      <c r="Q1203" s="113">
        <v>31655.82</v>
      </c>
      <c r="R1203" s="113">
        <v>692946</v>
      </c>
      <c r="S1203" s="121">
        <v>352946</v>
      </c>
      <c r="T1203" s="292" t="s">
        <v>47</v>
      </c>
      <c r="U1203" s="113">
        <v>340000</v>
      </c>
      <c r="V1203" s="113">
        <v>1422</v>
      </c>
      <c r="W1203" s="113">
        <v>550</v>
      </c>
      <c r="X1203" s="113"/>
      <c r="Y1203" s="113" t="s">
        <v>2669</v>
      </c>
      <c r="Z1203" s="113" t="s">
        <v>48</v>
      </c>
      <c r="AA1203" s="275">
        <v>44077</v>
      </c>
      <c r="AB1203" s="113"/>
      <c r="AC1203" s="113">
        <v>1254</v>
      </c>
      <c r="AD1203" s="122"/>
      <c r="AE1203" s="133"/>
      <c r="AF1203" s="115"/>
      <c r="AG1203" s="133"/>
      <c r="AH1203" s="133"/>
      <c r="AI1203" s="132">
        <f t="shared" si="388"/>
        <v>696172</v>
      </c>
      <c r="AJ1203" s="132">
        <f t="shared" si="389"/>
        <v>694918</v>
      </c>
      <c r="AK1203" s="133">
        <f t="shared" si="390"/>
        <v>1254</v>
      </c>
      <c r="AL1203" s="198" t="s">
        <v>9286</v>
      </c>
      <c r="AM1203" s="133" t="s">
        <v>886</v>
      </c>
      <c r="AN1203" s="246">
        <v>44866</v>
      </c>
      <c r="AO1203" s="100"/>
      <c r="AP1203" s="96"/>
      <c r="AQ1203" s="96"/>
      <c r="AR1203" s="96"/>
      <c r="AS1203" s="96"/>
      <c r="AT1203" s="96"/>
      <c r="AU1203" s="96"/>
      <c r="AV1203" s="96"/>
      <c r="AW1203" s="96"/>
      <c r="AX1203" s="96"/>
      <c r="AY1203" s="96"/>
      <c r="AZ1203" s="96"/>
      <c r="BA1203" s="96"/>
      <c r="BB1203" s="96"/>
      <c r="BC1203" s="96"/>
      <c r="BD1203" s="96"/>
      <c r="BE1203" s="96"/>
    </row>
    <row r="1204" s="97" customFormat="1" customHeight="1" spans="1:41">
      <c r="A1204" s="115" t="s">
        <v>9287</v>
      </c>
      <c r="B1204" s="111" t="s">
        <v>9288</v>
      </c>
      <c r="C1204" s="111" t="s">
        <v>9289</v>
      </c>
      <c r="D1204" s="113" t="s">
        <v>9290</v>
      </c>
      <c r="E1204" s="113">
        <v>15890657709</v>
      </c>
      <c r="F1204" s="267">
        <v>3</v>
      </c>
      <c r="G1204" s="268">
        <v>3334</v>
      </c>
      <c r="H1204" s="274">
        <v>19.42</v>
      </c>
      <c r="I1204" s="274" t="s">
        <v>2657</v>
      </c>
      <c r="J1204" s="113" t="s">
        <v>9291</v>
      </c>
      <c r="K1204" s="116">
        <v>15.7</v>
      </c>
      <c r="L1204" s="266" t="s">
        <v>3264</v>
      </c>
      <c r="M1204" s="266" t="s">
        <v>4567</v>
      </c>
      <c r="N1204" s="113" t="s">
        <v>66</v>
      </c>
      <c r="O1204" s="113"/>
      <c r="P1204" s="113"/>
      <c r="Q1204" s="113">
        <v>31506.75</v>
      </c>
      <c r="R1204" s="113">
        <v>494656</v>
      </c>
      <c r="S1204" s="121">
        <v>254656</v>
      </c>
      <c r="T1204" s="292">
        <f t="shared" ref="T1204:T1236" si="391">R1204-S1204</f>
        <v>240000</v>
      </c>
      <c r="U1204" s="113"/>
      <c r="V1204" s="113"/>
      <c r="W1204" s="113"/>
      <c r="X1204" s="113"/>
      <c r="Y1204" s="113"/>
      <c r="Z1204" s="113"/>
      <c r="AA1204" s="275"/>
      <c r="AB1204" s="113"/>
      <c r="AC1204" s="113"/>
      <c r="AD1204" s="122"/>
      <c r="AE1204" s="133"/>
      <c r="AF1204" s="115"/>
      <c r="AG1204" s="133"/>
      <c r="AH1204" s="133"/>
      <c r="AI1204" s="132">
        <f t="shared" ref="AI1204:AI1213" si="392">S1204+U1204+V1204+W1204+X1204+AC1204+AD1204+AE1204</f>
        <v>254656</v>
      </c>
      <c r="AJ1204" s="132">
        <f t="shared" ref="AJ1204:AJ1213" si="393">S1204+U1204+V1204+W1204+X1204</f>
        <v>254656</v>
      </c>
      <c r="AK1204" s="133">
        <f t="shared" ref="AK1204:AK1213" si="394">AI1204-AJ1204</f>
        <v>0</v>
      </c>
      <c r="AL1204" s="198"/>
      <c r="AM1204" s="133" t="s">
        <v>886</v>
      </c>
      <c r="AN1204" s="246">
        <v>44866</v>
      </c>
      <c r="AO1204" s="137"/>
    </row>
    <row r="1205" s="97" customFormat="1" customHeight="1" spans="1:41">
      <c r="A1205" s="115" t="s">
        <v>9292</v>
      </c>
      <c r="B1205" s="111" t="s">
        <v>9293</v>
      </c>
      <c r="C1205" s="111" t="s">
        <v>9294</v>
      </c>
      <c r="D1205" s="113" t="s">
        <v>9295</v>
      </c>
      <c r="E1205" s="113" t="s">
        <v>9296</v>
      </c>
      <c r="F1205" s="267">
        <v>3</v>
      </c>
      <c r="G1205" s="268">
        <v>3301</v>
      </c>
      <c r="H1205" s="274">
        <v>17.39</v>
      </c>
      <c r="I1205" s="274" t="s">
        <v>2657</v>
      </c>
      <c r="J1205" s="113" t="s">
        <v>9297</v>
      </c>
      <c r="K1205" s="116">
        <v>16.78</v>
      </c>
      <c r="L1205" s="266" t="s">
        <v>2954</v>
      </c>
      <c r="M1205" s="266" t="s">
        <v>2692</v>
      </c>
      <c r="N1205" s="113" t="s">
        <v>66</v>
      </c>
      <c r="O1205" s="113"/>
      <c r="P1205" s="113"/>
      <c r="Q1205" s="113">
        <v>31883.19</v>
      </c>
      <c r="R1205" s="113">
        <v>535000</v>
      </c>
      <c r="S1205" s="121">
        <v>275000</v>
      </c>
      <c r="T1205" s="292">
        <f t="shared" si="391"/>
        <v>260000</v>
      </c>
      <c r="U1205" s="113"/>
      <c r="V1205" s="113"/>
      <c r="W1205" s="113"/>
      <c r="X1205" s="113"/>
      <c r="Y1205" s="113"/>
      <c r="Z1205" s="113"/>
      <c r="AA1205" s="275"/>
      <c r="AB1205" s="113"/>
      <c r="AC1205" s="113"/>
      <c r="AD1205" s="122"/>
      <c r="AE1205" s="133"/>
      <c r="AF1205" s="115"/>
      <c r="AG1205" s="133"/>
      <c r="AH1205" s="133"/>
      <c r="AI1205" s="132">
        <f t="shared" si="392"/>
        <v>275000</v>
      </c>
      <c r="AJ1205" s="341"/>
      <c r="AK1205" s="133">
        <f t="shared" si="394"/>
        <v>275000</v>
      </c>
      <c r="AL1205" s="371" t="s">
        <v>9298</v>
      </c>
      <c r="AM1205" s="133" t="s">
        <v>886</v>
      </c>
      <c r="AN1205" s="246">
        <v>44866</v>
      </c>
      <c r="AO1205" s="137"/>
    </row>
    <row r="1206" s="97" customFormat="1" customHeight="1" spans="1:41">
      <c r="A1206" s="115" t="s">
        <v>9299</v>
      </c>
      <c r="B1206" s="111" t="s">
        <v>9300</v>
      </c>
      <c r="C1206" s="111" t="s">
        <v>9301</v>
      </c>
      <c r="D1206" s="113" t="s">
        <v>9302</v>
      </c>
      <c r="E1206" s="113">
        <v>13203730377</v>
      </c>
      <c r="F1206" s="267">
        <v>3</v>
      </c>
      <c r="G1206" s="268">
        <v>3414</v>
      </c>
      <c r="H1206" s="274">
        <v>20.24</v>
      </c>
      <c r="I1206" s="274" t="s">
        <v>2657</v>
      </c>
      <c r="J1206" s="113" t="s">
        <v>9303</v>
      </c>
      <c r="K1206" s="116">
        <v>20.63</v>
      </c>
      <c r="L1206" s="266" t="s">
        <v>4873</v>
      </c>
      <c r="M1206" s="266" t="s">
        <v>7460</v>
      </c>
      <c r="N1206" s="113" t="s">
        <v>56</v>
      </c>
      <c r="O1206" s="113"/>
      <c r="P1206" s="113"/>
      <c r="Q1206" s="113">
        <v>30000</v>
      </c>
      <c r="R1206" s="113">
        <v>607200</v>
      </c>
      <c r="S1206" s="121">
        <v>607200</v>
      </c>
      <c r="T1206" s="292">
        <f t="shared" si="391"/>
        <v>0</v>
      </c>
      <c r="U1206" s="113"/>
      <c r="V1206" s="113">
        <v>1315</v>
      </c>
      <c r="W1206" s="113">
        <v>550</v>
      </c>
      <c r="X1206" s="113">
        <v>9835</v>
      </c>
      <c r="Y1206" s="113" t="s">
        <v>2669</v>
      </c>
      <c r="Z1206" s="113" t="s">
        <v>48</v>
      </c>
      <c r="AA1206" s="275">
        <v>44141</v>
      </c>
      <c r="AB1206" s="113"/>
      <c r="AC1206" s="113"/>
      <c r="AD1206" s="122"/>
      <c r="AE1206" s="133"/>
      <c r="AF1206" s="115"/>
      <c r="AG1206" s="133"/>
      <c r="AH1206" s="133"/>
      <c r="AI1206" s="132">
        <f t="shared" si="392"/>
        <v>618900</v>
      </c>
      <c r="AJ1206" s="132">
        <f t="shared" si="393"/>
        <v>618900</v>
      </c>
      <c r="AK1206" s="133">
        <f t="shared" si="394"/>
        <v>0</v>
      </c>
      <c r="AL1206" s="198" t="s">
        <v>9304</v>
      </c>
      <c r="AM1206" s="133" t="s">
        <v>886</v>
      </c>
      <c r="AN1206" s="246">
        <v>44866</v>
      </c>
      <c r="AO1206" s="137"/>
    </row>
    <row r="1207" s="97" customFormat="1" customHeight="1" spans="1:41">
      <c r="A1207" s="115" t="s">
        <v>9305</v>
      </c>
      <c r="B1207" s="111" t="s">
        <v>9306</v>
      </c>
      <c r="C1207" s="111" t="s">
        <v>9307</v>
      </c>
      <c r="D1207" s="113" t="s">
        <v>9308</v>
      </c>
      <c r="E1207" s="113">
        <v>15565067212</v>
      </c>
      <c r="F1207" s="267">
        <v>3</v>
      </c>
      <c r="G1207" s="268">
        <v>3523</v>
      </c>
      <c r="H1207" s="274">
        <v>19.32</v>
      </c>
      <c r="I1207" s="274" t="s">
        <v>2657</v>
      </c>
      <c r="J1207" s="113" t="s">
        <v>9309</v>
      </c>
      <c r="K1207" s="116">
        <v>18.69</v>
      </c>
      <c r="L1207" s="266" t="s">
        <v>2675</v>
      </c>
      <c r="M1207" s="266" t="s">
        <v>3125</v>
      </c>
      <c r="N1207" s="113" t="s">
        <v>66</v>
      </c>
      <c r="O1207" s="113"/>
      <c r="P1207" s="113"/>
      <c r="Q1207" s="113">
        <v>32395.24</v>
      </c>
      <c r="R1207" s="113">
        <v>605467</v>
      </c>
      <c r="S1207" s="121">
        <v>305467</v>
      </c>
      <c r="T1207" s="292">
        <f t="shared" si="391"/>
        <v>300000</v>
      </c>
      <c r="U1207" s="113"/>
      <c r="V1207" s="113"/>
      <c r="W1207" s="113"/>
      <c r="X1207" s="113"/>
      <c r="Y1207" s="113"/>
      <c r="Z1207" s="113"/>
      <c r="AA1207" s="275"/>
      <c r="AB1207" s="113"/>
      <c r="AC1207" s="113"/>
      <c r="AD1207" s="122"/>
      <c r="AE1207" s="133"/>
      <c r="AF1207" s="115"/>
      <c r="AG1207" s="133"/>
      <c r="AH1207" s="133"/>
      <c r="AI1207" s="132">
        <f t="shared" si="392"/>
        <v>305467</v>
      </c>
      <c r="AJ1207" s="132">
        <f t="shared" si="393"/>
        <v>305467</v>
      </c>
      <c r="AK1207" s="133">
        <f t="shared" si="394"/>
        <v>0</v>
      </c>
      <c r="AL1207" s="198"/>
      <c r="AM1207" s="133" t="s">
        <v>886</v>
      </c>
      <c r="AN1207" s="246">
        <v>44866</v>
      </c>
      <c r="AO1207" s="137"/>
    </row>
    <row r="1208" s="97" customFormat="1" customHeight="1" spans="1:41">
      <c r="A1208" s="115" t="s">
        <v>9310</v>
      </c>
      <c r="B1208" s="111" t="s">
        <v>9311</v>
      </c>
      <c r="C1208" s="111" t="s">
        <v>9312</v>
      </c>
      <c r="D1208" s="113" t="s">
        <v>9313</v>
      </c>
      <c r="E1208" s="113" t="s">
        <v>9314</v>
      </c>
      <c r="F1208" s="267">
        <v>4</v>
      </c>
      <c r="G1208" s="268">
        <v>4462</v>
      </c>
      <c r="H1208" s="274">
        <v>11.51</v>
      </c>
      <c r="I1208" s="274" t="s">
        <v>2657</v>
      </c>
      <c r="J1208" s="113" t="s">
        <v>9315</v>
      </c>
      <c r="K1208" s="116">
        <v>9.14</v>
      </c>
      <c r="L1208" s="266" t="s">
        <v>2718</v>
      </c>
      <c r="M1208" s="266" t="s">
        <v>2927</v>
      </c>
      <c r="N1208" s="113" t="s">
        <v>2677</v>
      </c>
      <c r="O1208" s="113"/>
      <c r="P1208" s="113"/>
      <c r="Q1208" s="113">
        <v>27401.2</v>
      </c>
      <c r="R1208" s="113">
        <v>250447</v>
      </c>
      <c r="S1208" s="121">
        <v>130447</v>
      </c>
      <c r="T1208" s="292">
        <f t="shared" si="391"/>
        <v>120000</v>
      </c>
      <c r="U1208" s="113"/>
      <c r="V1208" s="113"/>
      <c r="W1208" s="113"/>
      <c r="X1208" s="113"/>
      <c r="Y1208" s="113"/>
      <c r="Z1208" s="113"/>
      <c r="AA1208" s="275"/>
      <c r="AB1208" s="113"/>
      <c r="AC1208" s="113"/>
      <c r="AD1208" s="122"/>
      <c r="AE1208" s="133"/>
      <c r="AF1208" s="115"/>
      <c r="AG1208" s="133"/>
      <c r="AH1208" s="133"/>
      <c r="AI1208" s="132">
        <f t="shared" si="392"/>
        <v>130447</v>
      </c>
      <c r="AJ1208" s="341"/>
      <c r="AK1208" s="133">
        <f t="shared" si="394"/>
        <v>130447</v>
      </c>
      <c r="AL1208" s="371" t="s">
        <v>9181</v>
      </c>
      <c r="AM1208" s="133" t="s">
        <v>886</v>
      </c>
      <c r="AN1208" s="246">
        <v>44866</v>
      </c>
      <c r="AO1208" s="137"/>
    </row>
    <row r="1209" s="97" customFormat="1" customHeight="1" spans="1:57">
      <c r="A1209" s="115" t="s">
        <v>9316</v>
      </c>
      <c r="B1209" s="111" t="s">
        <v>9317</v>
      </c>
      <c r="C1209" s="111" t="s">
        <v>9318</v>
      </c>
      <c r="D1209" s="113" t="s">
        <v>9319</v>
      </c>
      <c r="E1209" s="113">
        <v>13283717276</v>
      </c>
      <c r="F1209" s="267">
        <v>3</v>
      </c>
      <c r="G1209" s="268">
        <v>3359</v>
      </c>
      <c r="H1209" s="274">
        <v>18.75</v>
      </c>
      <c r="I1209" s="274" t="s">
        <v>2657</v>
      </c>
      <c r="J1209" s="113" t="s">
        <v>9320</v>
      </c>
      <c r="K1209" s="116">
        <v>17.91</v>
      </c>
      <c r="L1209" s="266" t="s">
        <v>9321</v>
      </c>
      <c r="M1209" s="266" t="s">
        <v>2724</v>
      </c>
      <c r="N1209" s="113" t="s">
        <v>66</v>
      </c>
      <c r="O1209" s="113"/>
      <c r="P1209" s="113"/>
      <c r="Q1209" s="113">
        <v>31446.73</v>
      </c>
      <c r="R1209" s="113">
        <v>589626</v>
      </c>
      <c r="S1209" s="121">
        <v>299626</v>
      </c>
      <c r="T1209" s="292">
        <f t="shared" si="391"/>
        <v>290000</v>
      </c>
      <c r="U1209" s="113"/>
      <c r="V1209" s="113">
        <v>1218</v>
      </c>
      <c r="W1209" s="113">
        <v>550</v>
      </c>
      <c r="X1209" s="113"/>
      <c r="Y1209" s="113" t="s">
        <v>2669</v>
      </c>
      <c r="Z1209" s="113"/>
      <c r="AA1209" s="275"/>
      <c r="AB1209" s="113"/>
      <c r="AC1209" s="113"/>
      <c r="AD1209" s="122"/>
      <c r="AE1209" s="133"/>
      <c r="AF1209" s="115"/>
      <c r="AG1209" s="133"/>
      <c r="AH1209" s="133"/>
      <c r="AI1209" s="132">
        <f t="shared" si="392"/>
        <v>301394</v>
      </c>
      <c r="AJ1209" s="341"/>
      <c r="AK1209" s="133">
        <f t="shared" si="394"/>
        <v>301394</v>
      </c>
      <c r="AL1209" s="371" t="s">
        <v>9322</v>
      </c>
      <c r="AM1209" s="133" t="s">
        <v>886</v>
      </c>
      <c r="AN1209" s="246">
        <v>44866</v>
      </c>
      <c r="AO1209" s="100"/>
      <c r="AP1209" s="96"/>
      <c r="AQ1209" s="96"/>
      <c r="AR1209" s="96"/>
      <c r="AS1209" s="96"/>
      <c r="AT1209" s="96"/>
      <c r="AU1209" s="96"/>
      <c r="AV1209" s="96"/>
      <c r="AW1209" s="96"/>
      <c r="AX1209" s="96"/>
      <c r="AY1209" s="96"/>
      <c r="AZ1209" s="96"/>
      <c r="BA1209" s="96"/>
      <c r="BB1209" s="96"/>
      <c r="BC1209" s="96"/>
      <c r="BD1209" s="96"/>
      <c r="BE1209" s="96"/>
    </row>
    <row r="1210" s="97" customFormat="1" customHeight="1" spans="1:57">
      <c r="A1210" s="115" t="s">
        <v>9323</v>
      </c>
      <c r="B1210" s="111" t="s">
        <v>9324</v>
      </c>
      <c r="C1210" s="111" t="s">
        <v>9325</v>
      </c>
      <c r="D1210" s="113" t="s">
        <v>9326</v>
      </c>
      <c r="E1210" s="113">
        <v>15838868159</v>
      </c>
      <c r="F1210" s="267">
        <v>3</v>
      </c>
      <c r="G1210" s="268">
        <v>3329</v>
      </c>
      <c r="H1210" s="274">
        <v>13.19</v>
      </c>
      <c r="I1210" s="274" t="s">
        <v>2657</v>
      </c>
      <c r="J1210" s="113" t="s">
        <v>9327</v>
      </c>
      <c r="K1210" s="116">
        <v>14.03</v>
      </c>
      <c r="L1210" s="266" t="s">
        <v>3048</v>
      </c>
      <c r="M1210" s="266" t="s">
        <v>3491</v>
      </c>
      <c r="N1210" s="113" t="s">
        <v>66</v>
      </c>
      <c r="O1210" s="113"/>
      <c r="P1210" s="113"/>
      <c r="Q1210" s="113">
        <v>32783.11</v>
      </c>
      <c r="R1210" s="113">
        <v>459947</v>
      </c>
      <c r="S1210" s="121">
        <v>239947</v>
      </c>
      <c r="T1210" s="292">
        <f t="shared" si="391"/>
        <v>220000</v>
      </c>
      <c r="U1210" s="113"/>
      <c r="V1210" s="113"/>
      <c r="W1210" s="113"/>
      <c r="X1210" s="113"/>
      <c r="Y1210" s="113"/>
      <c r="Z1210" s="113"/>
      <c r="AA1210" s="275"/>
      <c r="AB1210" s="113"/>
      <c r="AC1210" s="113"/>
      <c r="AD1210" s="122"/>
      <c r="AE1210" s="133"/>
      <c r="AF1210" s="115"/>
      <c r="AG1210" s="133" t="s">
        <v>9328</v>
      </c>
      <c r="AH1210" s="133"/>
      <c r="AI1210" s="132">
        <f t="shared" si="392"/>
        <v>239947</v>
      </c>
      <c r="AJ1210" s="132">
        <f t="shared" si="393"/>
        <v>239947</v>
      </c>
      <c r="AK1210" s="133">
        <f t="shared" si="394"/>
        <v>0</v>
      </c>
      <c r="AL1210" s="198"/>
      <c r="AM1210" s="133" t="s">
        <v>886</v>
      </c>
      <c r="AN1210" s="246">
        <v>44866</v>
      </c>
      <c r="AO1210" s="100"/>
      <c r="AP1210" s="96"/>
      <c r="AQ1210" s="96"/>
      <c r="AR1210" s="96"/>
      <c r="AS1210" s="96"/>
      <c r="AT1210" s="96"/>
      <c r="AU1210" s="96"/>
      <c r="AV1210" s="96"/>
      <c r="AW1210" s="96"/>
      <c r="AX1210" s="96"/>
      <c r="AY1210" s="96"/>
      <c r="AZ1210" s="96"/>
      <c r="BA1210" s="96"/>
      <c r="BB1210" s="96"/>
      <c r="BC1210" s="96"/>
      <c r="BD1210" s="96"/>
      <c r="BE1210" s="96"/>
    </row>
    <row r="1211" s="97" customFormat="1" customHeight="1" spans="1:57">
      <c r="A1211" s="106" t="s">
        <v>9329</v>
      </c>
      <c r="B1211" s="111" t="s">
        <v>9330</v>
      </c>
      <c r="C1211" s="554" t="s">
        <v>9331</v>
      </c>
      <c r="D1211" s="113" t="s">
        <v>9332</v>
      </c>
      <c r="E1211" s="113">
        <v>13073750301</v>
      </c>
      <c r="F1211" s="113">
        <v>4</v>
      </c>
      <c r="G1211" s="266" t="s">
        <v>9333</v>
      </c>
      <c r="H1211" s="116">
        <v>12.44</v>
      </c>
      <c r="I1211" s="116" t="s">
        <v>2657</v>
      </c>
      <c r="J1211" s="113" t="s">
        <v>9334</v>
      </c>
      <c r="K1211" s="116">
        <v>12.26</v>
      </c>
      <c r="L1211" s="266" t="s">
        <v>3497</v>
      </c>
      <c r="M1211" s="266" t="s">
        <v>9335</v>
      </c>
      <c r="N1211" s="113" t="s">
        <v>66</v>
      </c>
      <c r="O1211" s="113"/>
      <c r="P1211" s="113"/>
      <c r="Q1211" s="113">
        <v>27843.39</v>
      </c>
      <c r="R1211" s="113">
        <v>346372</v>
      </c>
      <c r="S1211" s="121">
        <v>176372</v>
      </c>
      <c r="T1211" s="121">
        <f t="shared" si="391"/>
        <v>170000</v>
      </c>
      <c r="U1211" s="113"/>
      <c r="V1211" s="113">
        <v>808</v>
      </c>
      <c r="W1211" s="113">
        <v>550</v>
      </c>
      <c r="X1211" s="113"/>
      <c r="Y1211" s="113"/>
      <c r="Z1211" s="113"/>
      <c r="AA1211" s="275"/>
      <c r="AB1211" s="113"/>
      <c r="AC1211" s="113"/>
      <c r="AD1211" s="122"/>
      <c r="AE1211" s="129"/>
      <c r="AF1211" s="106"/>
      <c r="AG1211" s="129"/>
      <c r="AH1211" s="129"/>
      <c r="AI1211" s="132">
        <f t="shared" si="392"/>
        <v>177730</v>
      </c>
      <c r="AJ1211" s="132">
        <f t="shared" si="393"/>
        <v>177730</v>
      </c>
      <c r="AK1211" s="133">
        <f t="shared" si="394"/>
        <v>0</v>
      </c>
      <c r="AL1211" s="370" t="s">
        <v>9336</v>
      </c>
      <c r="AM1211" s="129" t="s">
        <v>886</v>
      </c>
      <c r="AN1211" s="290">
        <v>44866</v>
      </c>
      <c r="AO1211" s="100"/>
      <c r="AP1211" s="96"/>
      <c r="AQ1211" s="96"/>
      <c r="AR1211" s="96"/>
      <c r="AS1211" s="96"/>
      <c r="AT1211" s="96"/>
      <c r="AU1211" s="96"/>
      <c r="AV1211" s="96"/>
      <c r="AW1211" s="96"/>
      <c r="AX1211" s="96"/>
      <c r="AY1211" s="96"/>
      <c r="AZ1211" s="96"/>
      <c r="BA1211" s="96"/>
      <c r="BB1211" s="96"/>
      <c r="BC1211" s="96"/>
      <c r="BD1211" s="96"/>
      <c r="BE1211" s="96"/>
    </row>
    <row r="1212" s="97" customFormat="1" customHeight="1" spans="1:57">
      <c r="A1212" s="115" t="s">
        <v>9337</v>
      </c>
      <c r="B1212" s="111" t="s">
        <v>9338</v>
      </c>
      <c r="C1212" s="111" t="s">
        <v>9339</v>
      </c>
      <c r="D1212" s="113" t="s">
        <v>9340</v>
      </c>
      <c r="E1212" s="113">
        <v>15838139389</v>
      </c>
      <c r="F1212" s="267">
        <v>3</v>
      </c>
      <c r="G1212" s="268">
        <v>3605</v>
      </c>
      <c r="H1212" s="274">
        <v>15.17</v>
      </c>
      <c r="I1212" s="274" t="s">
        <v>2657</v>
      </c>
      <c r="J1212" s="113" t="s">
        <v>9341</v>
      </c>
      <c r="K1212" s="116">
        <v>14.73</v>
      </c>
      <c r="L1212" s="266" t="s">
        <v>3858</v>
      </c>
      <c r="M1212" s="266" t="s">
        <v>3911</v>
      </c>
      <c r="N1212" s="113" t="s">
        <v>66</v>
      </c>
      <c r="O1212" s="113"/>
      <c r="P1212" s="113"/>
      <c r="Q1212" s="113">
        <v>32085.06</v>
      </c>
      <c r="R1212" s="113">
        <v>472613</v>
      </c>
      <c r="S1212" s="121">
        <v>242613</v>
      </c>
      <c r="T1212" s="292">
        <f t="shared" si="391"/>
        <v>230000</v>
      </c>
      <c r="U1212" s="113"/>
      <c r="V1212" s="113"/>
      <c r="W1212" s="113"/>
      <c r="X1212" s="113"/>
      <c r="Y1212" s="113"/>
      <c r="Z1212" s="113"/>
      <c r="AA1212" s="275"/>
      <c r="AB1212" s="113"/>
      <c r="AC1212" s="113"/>
      <c r="AD1212" s="122"/>
      <c r="AE1212" s="133"/>
      <c r="AF1212" s="115"/>
      <c r="AG1212" s="133"/>
      <c r="AH1212" s="133"/>
      <c r="AI1212" s="132">
        <f t="shared" si="392"/>
        <v>242613</v>
      </c>
      <c r="AJ1212" s="132">
        <f t="shared" si="393"/>
        <v>242613</v>
      </c>
      <c r="AK1212" s="133">
        <f t="shared" si="394"/>
        <v>0</v>
      </c>
      <c r="AL1212" s="198"/>
      <c r="AM1212" s="133" t="s">
        <v>886</v>
      </c>
      <c r="AN1212" s="246">
        <v>44866</v>
      </c>
      <c r="AO1212" s="100"/>
      <c r="AP1212" s="96"/>
      <c r="AQ1212" s="96"/>
      <c r="AR1212" s="96"/>
      <c r="AS1212" s="96"/>
      <c r="AT1212" s="96"/>
      <c r="AU1212" s="96"/>
      <c r="AV1212" s="96"/>
      <c r="AW1212" s="96"/>
      <c r="AX1212" s="96"/>
      <c r="AY1212" s="96"/>
      <c r="AZ1212" s="96"/>
      <c r="BA1212" s="96"/>
      <c r="BB1212" s="96"/>
      <c r="BC1212" s="96"/>
      <c r="BD1212" s="96"/>
      <c r="BE1212" s="96"/>
    </row>
    <row r="1213" s="97" customFormat="1" customHeight="1" spans="1:57">
      <c r="A1213" s="115" t="s">
        <v>9342</v>
      </c>
      <c r="B1213" s="111" t="s">
        <v>9343</v>
      </c>
      <c r="C1213" s="554" t="s">
        <v>9344</v>
      </c>
      <c r="D1213" s="113" t="s">
        <v>9345</v>
      </c>
      <c r="E1213" s="113">
        <v>15936705966</v>
      </c>
      <c r="F1213" s="267">
        <v>1</v>
      </c>
      <c r="G1213" s="268">
        <v>157</v>
      </c>
      <c r="H1213" s="274">
        <v>26.78</v>
      </c>
      <c r="I1213" s="274" t="s">
        <v>2657</v>
      </c>
      <c r="J1213" s="113" t="s">
        <v>9346</v>
      </c>
      <c r="K1213" s="116">
        <v>23.34</v>
      </c>
      <c r="L1213" s="266" t="s">
        <v>2691</v>
      </c>
      <c r="M1213" s="266" t="s">
        <v>5737</v>
      </c>
      <c r="N1213" s="113" t="s">
        <v>66</v>
      </c>
      <c r="O1213" s="113"/>
      <c r="P1213" s="113"/>
      <c r="Q1213" s="113">
        <v>47394.47</v>
      </c>
      <c r="R1213" s="113">
        <v>1106187</v>
      </c>
      <c r="S1213" s="121">
        <v>556187</v>
      </c>
      <c r="T1213" s="292">
        <f t="shared" si="391"/>
        <v>550000</v>
      </c>
      <c r="U1213" s="113"/>
      <c r="V1213" s="113"/>
      <c r="W1213" s="113"/>
      <c r="X1213" s="113"/>
      <c r="Y1213" s="113"/>
      <c r="Z1213" s="113"/>
      <c r="AA1213" s="275"/>
      <c r="AB1213" s="113"/>
      <c r="AC1213" s="113"/>
      <c r="AD1213" s="122"/>
      <c r="AE1213" s="133"/>
      <c r="AF1213" s="115"/>
      <c r="AG1213" s="133"/>
      <c r="AH1213" s="133"/>
      <c r="AI1213" s="132">
        <f t="shared" si="392"/>
        <v>556187</v>
      </c>
      <c r="AJ1213" s="132">
        <f t="shared" si="393"/>
        <v>556187</v>
      </c>
      <c r="AK1213" s="133">
        <f t="shared" si="394"/>
        <v>0</v>
      </c>
      <c r="AL1213" s="198"/>
      <c r="AM1213" s="133" t="s">
        <v>886</v>
      </c>
      <c r="AN1213" s="246">
        <v>44866</v>
      </c>
      <c r="AO1213" s="100"/>
      <c r="AP1213" s="96"/>
      <c r="AQ1213" s="96"/>
      <c r="AR1213" s="96"/>
      <c r="AS1213" s="96"/>
      <c r="AT1213" s="96"/>
      <c r="AU1213" s="96"/>
      <c r="AV1213" s="96"/>
      <c r="AW1213" s="96"/>
      <c r="AX1213" s="96"/>
      <c r="AY1213" s="96"/>
      <c r="AZ1213" s="96"/>
      <c r="BA1213" s="96"/>
      <c r="BB1213" s="96"/>
      <c r="BC1213" s="96"/>
      <c r="BD1213" s="96"/>
      <c r="BE1213" s="96"/>
    </row>
    <row r="1214" s="97" customFormat="1" customHeight="1" spans="1:57">
      <c r="A1214" s="115" t="s">
        <v>9347</v>
      </c>
      <c r="B1214" s="111" t="s">
        <v>9348</v>
      </c>
      <c r="C1214" s="554" t="s">
        <v>9349</v>
      </c>
      <c r="D1214" s="113" t="s">
        <v>9350</v>
      </c>
      <c r="E1214" s="113">
        <v>17797756151</v>
      </c>
      <c r="F1214" s="267">
        <v>4</v>
      </c>
      <c r="G1214" s="268">
        <v>4458</v>
      </c>
      <c r="H1214" s="274">
        <v>12.98</v>
      </c>
      <c r="I1214" s="274" t="s">
        <v>2657</v>
      </c>
      <c r="J1214" s="113" t="s">
        <v>9351</v>
      </c>
      <c r="K1214" s="116">
        <v>12.82</v>
      </c>
      <c r="L1214" s="266" t="s">
        <v>3664</v>
      </c>
      <c r="M1214" s="266" t="s">
        <v>7395</v>
      </c>
      <c r="N1214" s="113" t="s">
        <v>66</v>
      </c>
      <c r="O1214" s="113"/>
      <c r="P1214" s="113"/>
      <c r="Q1214" s="113">
        <v>27430.34</v>
      </c>
      <c r="R1214" s="113">
        <v>356046</v>
      </c>
      <c r="S1214" s="121">
        <v>186046</v>
      </c>
      <c r="T1214" s="292">
        <f t="shared" si="391"/>
        <v>170000</v>
      </c>
      <c r="U1214" s="113"/>
      <c r="V1214" s="113">
        <v>843</v>
      </c>
      <c r="W1214" s="113">
        <v>550</v>
      </c>
      <c r="X1214" s="113"/>
      <c r="Y1214" s="113"/>
      <c r="Z1214" s="113"/>
      <c r="AA1214" s="275"/>
      <c r="AB1214" s="113"/>
      <c r="AC1214" s="113"/>
      <c r="AD1214" s="122"/>
      <c r="AE1214" s="133"/>
      <c r="AF1214" s="115"/>
      <c r="AG1214" s="133"/>
      <c r="AH1214" s="133"/>
      <c r="AI1214" s="132">
        <f t="shared" ref="AI1214:AI1226" si="395">S1214+U1214+V1214+W1214+X1214+AC1214+AD1214+AE1214</f>
        <v>187439</v>
      </c>
      <c r="AJ1214" s="132">
        <f t="shared" ref="AJ1214:AJ1226" si="396">S1214+U1214+V1214+W1214+X1214</f>
        <v>187439</v>
      </c>
      <c r="AK1214" s="133">
        <f t="shared" ref="AK1214:AK1226" si="397">AI1214-AJ1214</f>
        <v>0</v>
      </c>
      <c r="AL1214" s="198"/>
      <c r="AM1214" s="133" t="s">
        <v>886</v>
      </c>
      <c r="AN1214" s="246">
        <v>44866</v>
      </c>
      <c r="AO1214" s="100"/>
      <c r="AP1214" s="96"/>
      <c r="AQ1214" s="96"/>
      <c r="AR1214" s="96"/>
      <c r="AS1214" s="96"/>
      <c r="AT1214" s="96"/>
      <c r="AU1214" s="96"/>
      <c r="AV1214" s="96"/>
      <c r="AW1214" s="96"/>
      <c r="AX1214" s="96"/>
      <c r="AY1214" s="96"/>
      <c r="AZ1214" s="96"/>
      <c r="BA1214" s="96"/>
      <c r="BB1214" s="96"/>
      <c r="BC1214" s="96"/>
      <c r="BD1214" s="96"/>
      <c r="BE1214" s="96"/>
    </row>
    <row r="1215" s="97" customFormat="1" customHeight="1" spans="1:57">
      <c r="A1215" s="115" t="s">
        <v>9352</v>
      </c>
      <c r="B1215" s="111" t="s">
        <v>9353</v>
      </c>
      <c r="C1215" s="111" t="s">
        <v>9354</v>
      </c>
      <c r="D1215" s="113" t="s">
        <v>9355</v>
      </c>
      <c r="E1215" s="113">
        <v>18697315268</v>
      </c>
      <c r="F1215" s="267">
        <v>3</v>
      </c>
      <c r="G1215" s="268">
        <v>3589</v>
      </c>
      <c r="H1215" s="274">
        <v>18.16</v>
      </c>
      <c r="I1215" s="274" t="s">
        <v>2657</v>
      </c>
      <c r="J1215" s="113" t="s">
        <v>9356</v>
      </c>
      <c r="K1215" s="116">
        <v>15.7</v>
      </c>
      <c r="L1215" s="266" t="s">
        <v>2961</v>
      </c>
      <c r="M1215" s="266" t="s">
        <v>3976</v>
      </c>
      <c r="N1215" s="113" t="s">
        <v>66</v>
      </c>
      <c r="O1215" s="113"/>
      <c r="P1215" s="113"/>
      <c r="Q1215" s="113">
        <v>31764.2</v>
      </c>
      <c r="R1215" s="113">
        <v>498698</v>
      </c>
      <c r="S1215" s="121">
        <v>258698</v>
      </c>
      <c r="T1215" s="292">
        <f t="shared" si="391"/>
        <v>240000</v>
      </c>
      <c r="U1215" s="113"/>
      <c r="V1215" s="113"/>
      <c r="W1215" s="113"/>
      <c r="X1215" s="113"/>
      <c r="Y1215" s="113"/>
      <c r="Z1215" s="113"/>
      <c r="AA1215" s="275"/>
      <c r="AB1215" s="113"/>
      <c r="AC1215" s="113"/>
      <c r="AD1215" s="122"/>
      <c r="AE1215" s="133"/>
      <c r="AF1215" s="115"/>
      <c r="AG1215" s="133"/>
      <c r="AH1215" s="133"/>
      <c r="AI1215" s="132">
        <f t="shared" si="395"/>
        <v>258698</v>
      </c>
      <c r="AJ1215" s="341"/>
      <c r="AK1215" s="133">
        <f t="shared" si="397"/>
        <v>258698</v>
      </c>
      <c r="AL1215" s="371" t="s">
        <v>9357</v>
      </c>
      <c r="AM1215" s="133" t="s">
        <v>886</v>
      </c>
      <c r="AN1215" s="246">
        <v>44866</v>
      </c>
      <c r="AO1215" s="100"/>
      <c r="AP1215" s="96"/>
      <c r="AQ1215" s="96"/>
      <c r="AR1215" s="96"/>
      <c r="AS1215" s="96"/>
      <c r="AT1215" s="96"/>
      <c r="AU1215" s="96"/>
      <c r="AV1215" s="96"/>
      <c r="AW1215" s="96"/>
      <c r="AX1215" s="96"/>
      <c r="AY1215" s="96"/>
      <c r="AZ1215" s="96"/>
      <c r="BA1215" s="96"/>
      <c r="BB1215" s="96"/>
      <c r="BC1215" s="96"/>
      <c r="BD1215" s="96"/>
      <c r="BE1215" s="96"/>
    </row>
    <row r="1216" s="97" customFormat="1" customHeight="1" spans="1:57">
      <c r="A1216" s="115" t="s">
        <v>9358</v>
      </c>
      <c r="B1216" s="111" t="s">
        <v>9359</v>
      </c>
      <c r="C1216" s="554" t="s">
        <v>9360</v>
      </c>
      <c r="D1216" s="113" t="s">
        <v>9361</v>
      </c>
      <c r="E1216" s="113">
        <v>15836265536</v>
      </c>
      <c r="F1216" s="267">
        <v>1</v>
      </c>
      <c r="G1216" s="268" t="s">
        <v>9362</v>
      </c>
      <c r="H1216" s="274">
        <v>12.86</v>
      </c>
      <c r="I1216" s="274" t="s">
        <v>2657</v>
      </c>
      <c r="J1216" s="113" t="s">
        <v>9363</v>
      </c>
      <c r="K1216" s="116">
        <v>24.26</v>
      </c>
      <c r="L1216" s="266" t="s">
        <v>3956</v>
      </c>
      <c r="M1216" s="266" t="s">
        <v>4607</v>
      </c>
      <c r="N1216" s="113" t="s">
        <v>56</v>
      </c>
      <c r="O1216" s="113"/>
      <c r="P1216" s="113"/>
      <c r="Q1216" s="113">
        <v>44418.97</v>
      </c>
      <c r="R1216" s="113">
        <v>571228</v>
      </c>
      <c r="S1216" s="121">
        <v>571228</v>
      </c>
      <c r="T1216" s="292">
        <f t="shared" si="391"/>
        <v>0</v>
      </c>
      <c r="U1216" s="113"/>
      <c r="V1216" s="113"/>
      <c r="W1216" s="113"/>
      <c r="X1216" s="113"/>
      <c r="Y1216" s="113" t="s">
        <v>2669</v>
      </c>
      <c r="Z1216" s="113"/>
      <c r="AA1216" s="275"/>
      <c r="AB1216" s="113"/>
      <c r="AC1216" s="113"/>
      <c r="AD1216" s="122"/>
      <c r="AE1216" s="133"/>
      <c r="AF1216" s="115"/>
      <c r="AG1216" s="133"/>
      <c r="AH1216" s="133"/>
      <c r="AI1216" s="132">
        <f t="shared" si="395"/>
        <v>571228</v>
      </c>
      <c r="AJ1216" s="132">
        <f t="shared" si="396"/>
        <v>571228</v>
      </c>
      <c r="AK1216" s="133">
        <f t="shared" si="397"/>
        <v>0</v>
      </c>
      <c r="AL1216" s="198" t="s">
        <v>9364</v>
      </c>
      <c r="AM1216" s="133" t="s">
        <v>886</v>
      </c>
      <c r="AN1216" s="246">
        <v>44866</v>
      </c>
      <c r="AO1216" s="100"/>
      <c r="AP1216" s="96"/>
      <c r="AQ1216" s="96"/>
      <c r="AR1216" s="96"/>
      <c r="AS1216" s="96"/>
      <c r="AT1216" s="96"/>
      <c r="AU1216" s="96"/>
      <c r="AV1216" s="96"/>
      <c r="AW1216" s="96"/>
      <c r="AX1216" s="96"/>
      <c r="AY1216" s="96"/>
      <c r="AZ1216" s="96"/>
      <c r="BA1216" s="96"/>
      <c r="BB1216" s="96"/>
      <c r="BC1216" s="96"/>
      <c r="BD1216" s="96"/>
      <c r="BE1216" s="96"/>
    </row>
    <row r="1217" s="97" customFormat="1" customHeight="1" spans="1:57">
      <c r="A1217" s="115" t="s">
        <v>9365</v>
      </c>
      <c r="B1217" s="111" t="s">
        <v>9366</v>
      </c>
      <c r="C1217" s="554" t="s">
        <v>9367</v>
      </c>
      <c r="D1217" s="113" t="s">
        <v>9368</v>
      </c>
      <c r="E1217" s="113">
        <v>18610585191</v>
      </c>
      <c r="F1217" s="267">
        <v>2</v>
      </c>
      <c r="G1217" s="268">
        <v>253</v>
      </c>
      <c r="H1217" s="274">
        <v>38.46</v>
      </c>
      <c r="I1217" s="274" t="s">
        <v>2665</v>
      </c>
      <c r="J1217" s="113" t="s">
        <v>9369</v>
      </c>
      <c r="K1217" s="116">
        <v>36.55</v>
      </c>
      <c r="L1217" s="266" t="s">
        <v>2711</v>
      </c>
      <c r="M1217" s="266" t="s">
        <v>4028</v>
      </c>
      <c r="N1217" s="113" t="s">
        <v>66</v>
      </c>
      <c r="O1217" s="113"/>
      <c r="P1217" s="113"/>
      <c r="Q1217" s="113">
        <v>29318.3310533516</v>
      </c>
      <c r="R1217" s="113">
        <v>1071585</v>
      </c>
      <c r="S1217" s="121">
        <v>541585</v>
      </c>
      <c r="T1217" s="292">
        <f t="shared" si="391"/>
        <v>530000</v>
      </c>
      <c r="U1217" s="113"/>
      <c r="V1217" s="113"/>
      <c r="W1217" s="113"/>
      <c r="X1217" s="113"/>
      <c r="Y1217" s="113"/>
      <c r="Z1217" s="113"/>
      <c r="AA1217" s="304"/>
      <c r="AB1217" s="113"/>
      <c r="AC1217" s="113"/>
      <c r="AD1217" s="113"/>
      <c r="AE1217" s="133"/>
      <c r="AF1217" s="115"/>
      <c r="AG1217" s="133"/>
      <c r="AH1217" s="133"/>
      <c r="AI1217" s="132">
        <f t="shared" si="395"/>
        <v>541585</v>
      </c>
      <c r="AJ1217" s="132">
        <f t="shared" si="396"/>
        <v>541585</v>
      </c>
      <c r="AK1217" s="133">
        <f t="shared" si="397"/>
        <v>0</v>
      </c>
      <c r="AL1217" s="132"/>
      <c r="AM1217" s="133" t="s">
        <v>900</v>
      </c>
      <c r="AN1217" s="246">
        <v>44872</v>
      </c>
      <c r="AO1217" s="100"/>
      <c r="AP1217" s="96"/>
      <c r="AQ1217" s="96"/>
      <c r="AR1217" s="96"/>
      <c r="AS1217" s="96"/>
      <c r="AT1217" s="96"/>
      <c r="AU1217" s="96"/>
      <c r="AV1217" s="96"/>
      <c r="AW1217" s="96"/>
      <c r="AX1217" s="96"/>
      <c r="AY1217" s="96"/>
      <c r="AZ1217" s="96"/>
      <c r="BA1217" s="96"/>
      <c r="BB1217" s="96"/>
      <c r="BC1217" s="96"/>
      <c r="BD1217" s="96"/>
      <c r="BE1217" s="96"/>
    </row>
    <row r="1218" s="97" customFormat="1" customHeight="1" spans="1:57">
      <c r="A1218" s="115" t="s">
        <v>9370</v>
      </c>
      <c r="B1218" s="111" t="s">
        <v>9371</v>
      </c>
      <c r="C1218" s="111" t="s">
        <v>9372</v>
      </c>
      <c r="D1218" s="121" t="s">
        <v>9373</v>
      </c>
      <c r="E1218" s="113">
        <v>15138680826</v>
      </c>
      <c r="F1218" s="267">
        <v>3</v>
      </c>
      <c r="G1218" s="268">
        <v>3136</v>
      </c>
      <c r="H1218" s="274">
        <v>14.71</v>
      </c>
      <c r="I1218" s="274" t="s">
        <v>2657</v>
      </c>
      <c r="J1218" s="113" t="s">
        <v>9374</v>
      </c>
      <c r="K1218" s="116">
        <v>13.17</v>
      </c>
      <c r="L1218" s="266" t="s">
        <v>3522</v>
      </c>
      <c r="M1218" s="266" t="s">
        <v>2960</v>
      </c>
      <c r="N1218" s="113" t="s">
        <v>66</v>
      </c>
      <c r="O1218" s="113"/>
      <c r="P1218" s="113"/>
      <c r="Q1218" s="113">
        <v>32085.12</v>
      </c>
      <c r="R1218" s="113">
        <v>422561</v>
      </c>
      <c r="S1218" s="121">
        <v>212561</v>
      </c>
      <c r="T1218" s="292">
        <f t="shared" si="391"/>
        <v>210000</v>
      </c>
      <c r="U1218" s="113"/>
      <c r="V1218" s="113"/>
      <c r="W1218" s="113"/>
      <c r="X1218" s="113"/>
      <c r="Y1218" s="113"/>
      <c r="Z1218" s="113"/>
      <c r="AA1218" s="113"/>
      <c r="AB1218" s="113"/>
      <c r="AC1218" s="113"/>
      <c r="AD1218" s="113"/>
      <c r="AE1218" s="133"/>
      <c r="AF1218" s="115"/>
      <c r="AG1218" s="133"/>
      <c r="AH1218" s="133"/>
      <c r="AI1218" s="132">
        <f t="shared" si="395"/>
        <v>212561</v>
      </c>
      <c r="AJ1218" s="132">
        <f t="shared" si="396"/>
        <v>212561</v>
      </c>
      <c r="AK1218" s="133">
        <f t="shared" si="397"/>
        <v>0</v>
      </c>
      <c r="AL1218" s="132"/>
      <c r="AM1218" s="133" t="s">
        <v>900</v>
      </c>
      <c r="AN1218" s="246">
        <v>44872</v>
      </c>
      <c r="AO1218" s="100"/>
      <c r="AP1218" s="96"/>
      <c r="AQ1218" s="96"/>
      <c r="AR1218" s="96"/>
      <c r="AS1218" s="96"/>
      <c r="AT1218" s="96"/>
      <c r="AU1218" s="96"/>
      <c r="AV1218" s="96"/>
      <c r="AW1218" s="96"/>
      <c r="AX1218" s="96"/>
      <c r="AY1218" s="96"/>
      <c r="AZ1218" s="96"/>
      <c r="BA1218" s="96"/>
      <c r="BB1218" s="96"/>
      <c r="BC1218" s="96"/>
      <c r="BD1218" s="96"/>
      <c r="BE1218" s="96"/>
    </row>
    <row r="1219" s="97" customFormat="1" customHeight="1" spans="1:57">
      <c r="A1219" s="115" t="s">
        <v>9375</v>
      </c>
      <c r="B1219" s="111" t="s">
        <v>9376</v>
      </c>
      <c r="C1219" s="554" t="s">
        <v>9377</v>
      </c>
      <c r="D1219" s="113" t="s">
        <v>9378</v>
      </c>
      <c r="E1219" s="113">
        <v>13937083537</v>
      </c>
      <c r="F1219" s="267">
        <v>1</v>
      </c>
      <c r="G1219" s="268">
        <v>1100</v>
      </c>
      <c r="H1219" s="274">
        <v>24.32</v>
      </c>
      <c r="I1219" s="274" t="s">
        <v>2657</v>
      </c>
      <c r="J1219" s="113" t="s">
        <v>9379</v>
      </c>
      <c r="K1219" s="116">
        <v>20.84</v>
      </c>
      <c r="L1219" s="266" t="s">
        <v>4541</v>
      </c>
      <c r="M1219" s="266" t="s">
        <v>4541</v>
      </c>
      <c r="N1219" s="113" t="s">
        <v>66</v>
      </c>
      <c r="O1219" s="113"/>
      <c r="P1219" s="113"/>
      <c r="Q1219" s="113">
        <v>47267.23</v>
      </c>
      <c r="R1219" s="113">
        <v>985049</v>
      </c>
      <c r="S1219" s="121">
        <v>495049</v>
      </c>
      <c r="T1219" s="292">
        <f t="shared" si="391"/>
        <v>490000</v>
      </c>
      <c r="U1219" s="113"/>
      <c r="V1219" s="113"/>
      <c r="W1219" s="113"/>
      <c r="X1219" s="113"/>
      <c r="Y1219" s="113"/>
      <c r="Z1219" s="113"/>
      <c r="AA1219" s="113"/>
      <c r="AB1219" s="113"/>
      <c r="AC1219" s="113"/>
      <c r="AD1219" s="113"/>
      <c r="AE1219" s="133"/>
      <c r="AF1219" s="115"/>
      <c r="AG1219" s="133"/>
      <c r="AH1219" s="133"/>
      <c r="AI1219" s="132">
        <f t="shared" si="395"/>
        <v>495049</v>
      </c>
      <c r="AJ1219" s="132">
        <f t="shared" si="396"/>
        <v>495049</v>
      </c>
      <c r="AK1219" s="133">
        <f t="shared" si="397"/>
        <v>0</v>
      </c>
      <c r="AL1219" s="132"/>
      <c r="AM1219" s="133" t="s">
        <v>900</v>
      </c>
      <c r="AN1219" s="246">
        <v>44872</v>
      </c>
      <c r="AO1219" s="100"/>
      <c r="AP1219" s="96"/>
      <c r="AQ1219" s="96"/>
      <c r="AR1219" s="96"/>
      <c r="AS1219" s="96"/>
      <c r="AT1219" s="96"/>
      <c r="AU1219" s="96"/>
      <c r="AV1219" s="96"/>
      <c r="AW1219" s="96"/>
      <c r="AX1219" s="96"/>
      <c r="AY1219" s="96"/>
      <c r="AZ1219" s="96"/>
      <c r="BA1219" s="96"/>
      <c r="BB1219" s="96"/>
      <c r="BC1219" s="96"/>
      <c r="BD1219" s="96"/>
      <c r="BE1219" s="96"/>
    </row>
    <row r="1220" s="97" customFormat="1" customHeight="1" spans="1:57">
      <c r="A1220" s="115" t="s">
        <v>9380</v>
      </c>
      <c r="B1220" s="111" t="s">
        <v>9381</v>
      </c>
      <c r="C1220" s="111" t="s">
        <v>9382</v>
      </c>
      <c r="D1220" s="121" t="s">
        <v>9383</v>
      </c>
      <c r="E1220" s="113" t="s">
        <v>9384</v>
      </c>
      <c r="F1220" s="267">
        <v>3</v>
      </c>
      <c r="G1220" s="268">
        <v>3725</v>
      </c>
      <c r="H1220" s="274">
        <v>14.17</v>
      </c>
      <c r="I1220" s="274" t="s">
        <v>2657</v>
      </c>
      <c r="J1220" s="113" t="s">
        <v>9385</v>
      </c>
      <c r="K1220" s="113">
        <v>12.34</v>
      </c>
      <c r="L1220" s="266" t="s">
        <v>3793</v>
      </c>
      <c r="M1220" s="266" t="s">
        <v>3686</v>
      </c>
      <c r="N1220" s="113" t="s">
        <v>66</v>
      </c>
      <c r="O1220" s="113"/>
      <c r="P1220" s="113"/>
      <c r="Q1220" s="113">
        <v>32427.07</v>
      </c>
      <c r="R1220" s="113">
        <v>400150</v>
      </c>
      <c r="S1220" s="121">
        <v>200150</v>
      </c>
      <c r="T1220" s="292">
        <f t="shared" si="391"/>
        <v>200000</v>
      </c>
      <c r="U1220" s="113"/>
      <c r="V1220" s="113"/>
      <c r="W1220" s="113"/>
      <c r="X1220" s="113"/>
      <c r="Y1220" s="113"/>
      <c r="Z1220" s="113"/>
      <c r="AA1220" s="113"/>
      <c r="AB1220" s="113"/>
      <c r="AC1220" s="113"/>
      <c r="AD1220" s="113"/>
      <c r="AE1220" s="133"/>
      <c r="AF1220" s="115"/>
      <c r="AG1220" s="133"/>
      <c r="AH1220" s="133"/>
      <c r="AI1220" s="132">
        <f t="shared" si="395"/>
        <v>200150</v>
      </c>
      <c r="AJ1220" s="132">
        <f t="shared" si="396"/>
        <v>200150</v>
      </c>
      <c r="AK1220" s="133">
        <f t="shared" si="397"/>
        <v>0</v>
      </c>
      <c r="AL1220" s="132"/>
      <c r="AM1220" s="133" t="s">
        <v>900</v>
      </c>
      <c r="AN1220" s="246">
        <v>44872</v>
      </c>
      <c r="AO1220" s="100"/>
      <c r="AP1220" s="96"/>
      <c r="AQ1220" s="96"/>
      <c r="AR1220" s="96"/>
      <c r="AS1220" s="96"/>
      <c r="AT1220" s="96"/>
      <c r="AU1220" s="96"/>
      <c r="AV1220" s="96"/>
      <c r="AW1220" s="96"/>
      <c r="AX1220" s="96"/>
      <c r="AY1220" s="96"/>
      <c r="AZ1220" s="96"/>
      <c r="BA1220" s="96"/>
      <c r="BB1220" s="96"/>
      <c r="BC1220" s="96"/>
      <c r="BD1220" s="96"/>
      <c r="BE1220" s="96"/>
    </row>
    <row r="1221" s="97" customFormat="1" customHeight="1" spans="1:57">
      <c r="A1221" s="115" t="s">
        <v>9386</v>
      </c>
      <c r="B1221" s="111" t="s">
        <v>9387</v>
      </c>
      <c r="C1221" s="111" t="s">
        <v>9388</v>
      </c>
      <c r="D1221" s="121" t="s">
        <v>9389</v>
      </c>
      <c r="E1221" s="113">
        <v>13703706093</v>
      </c>
      <c r="F1221" s="267">
        <v>3</v>
      </c>
      <c r="G1221" s="268">
        <v>372</v>
      </c>
      <c r="H1221" s="274">
        <v>20.09</v>
      </c>
      <c r="I1221" s="274" t="s">
        <v>2657</v>
      </c>
      <c r="J1221" s="113" t="s">
        <v>9390</v>
      </c>
      <c r="K1221" s="116">
        <v>19.1</v>
      </c>
      <c r="L1221" s="266" t="s">
        <v>4541</v>
      </c>
      <c r="M1221" s="266" t="s">
        <v>9391</v>
      </c>
      <c r="N1221" s="113" t="s">
        <v>66</v>
      </c>
      <c r="O1221" s="113"/>
      <c r="P1221" s="113"/>
      <c r="Q1221" s="113">
        <v>31153.4</v>
      </c>
      <c r="R1221" s="113">
        <v>625872</v>
      </c>
      <c r="S1221" s="121">
        <v>315872</v>
      </c>
      <c r="T1221" s="292">
        <f t="shared" si="391"/>
        <v>310000</v>
      </c>
      <c r="U1221" s="113"/>
      <c r="V1221" s="113">
        <v>1305</v>
      </c>
      <c r="W1221" s="113">
        <v>550</v>
      </c>
      <c r="X1221" s="113"/>
      <c r="Y1221" s="113"/>
      <c r="Z1221" s="113"/>
      <c r="AA1221" s="113"/>
      <c r="AB1221" s="113"/>
      <c r="AC1221" s="113"/>
      <c r="AD1221" s="113"/>
      <c r="AE1221" s="133"/>
      <c r="AF1221" s="115"/>
      <c r="AG1221" s="133"/>
      <c r="AH1221" s="133"/>
      <c r="AI1221" s="132">
        <f t="shared" si="395"/>
        <v>317727</v>
      </c>
      <c r="AJ1221" s="132">
        <f t="shared" si="396"/>
        <v>317727</v>
      </c>
      <c r="AK1221" s="133">
        <f t="shared" si="397"/>
        <v>0</v>
      </c>
      <c r="AL1221" s="132"/>
      <c r="AM1221" s="133" t="s">
        <v>900</v>
      </c>
      <c r="AN1221" s="246">
        <v>44872</v>
      </c>
      <c r="AO1221" s="100"/>
      <c r="AP1221" s="96"/>
      <c r="AQ1221" s="96"/>
      <c r="AR1221" s="96"/>
      <c r="AS1221" s="96"/>
      <c r="AT1221" s="96"/>
      <c r="AU1221" s="96"/>
      <c r="AV1221" s="96"/>
      <c r="AW1221" s="96"/>
      <c r="AX1221" s="96"/>
      <c r="AY1221" s="96"/>
      <c r="AZ1221" s="96"/>
      <c r="BA1221" s="96"/>
      <c r="BB1221" s="96"/>
      <c r="BC1221" s="96"/>
      <c r="BD1221" s="96"/>
      <c r="BE1221" s="96"/>
    </row>
    <row r="1222" s="97" customFormat="1" customHeight="1" spans="1:57">
      <c r="A1222" s="115" t="s">
        <v>9392</v>
      </c>
      <c r="B1222" s="111" t="s">
        <v>9393</v>
      </c>
      <c r="C1222" s="554" t="s">
        <v>9394</v>
      </c>
      <c r="D1222" s="113" t="s">
        <v>9395</v>
      </c>
      <c r="E1222" s="111">
        <v>18336179619</v>
      </c>
      <c r="F1222" s="267">
        <v>2</v>
      </c>
      <c r="G1222" s="268">
        <v>2107</v>
      </c>
      <c r="H1222" s="274">
        <v>31.4</v>
      </c>
      <c r="I1222" s="274" t="s">
        <v>2665</v>
      </c>
      <c r="J1222" s="113" t="s">
        <v>9396</v>
      </c>
      <c r="K1222" s="116">
        <v>32.13</v>
      </c>
      <c r="L1222" s="266" t="s">
        <v>2711</v>
      </c>
      <c r="M1222" s="266" t="s">
        <v>4257</v>
      </c>
      <c r="N1222" s="113" t="s">
        <v>56</v>
      </c>
      <c r="O1222" s="113"/>
      <c r="P1222" s="113"/>
      <c r="Q1222" s="113">
        <v>28357.48</v>
      </c>
      <c r="R1222" s="113">
        <v>890425</v>
      </c>
      <c r="S1222" s="121">
        <v>890425</v>
      </c>
      <c r="T1222" s="292">
        <f t="shared" si="391"/>
        <v>0</v>
      </c>
      <c r="U1222" s="113"/>
      <c r="V1222" s="113">
        <v>2041</v>
      </c>
      <c r="W1222" s="113">
        <v>550</v>
      </c>
      <c r="X1222" s="113">
        <v>18110</v>
      </c>
      <c r="Y1222" s="113" t="s">
        <v>2669</v>
      </c>
      <c r="Z1222" s="113" t="s">
        <v>48</v>
      </c>
      <c r="AA1222" s="275">
        <v>44019</v>
      </c>
      <c r="AB1222" s="113"/>
      <c r="AC1222" s="113"/>
      <c r="AD1222" s="122"/>
      <c r="AE1222" s="133"/>
      <c r="AF1222" s="115"/>
      <c r="AG1222" s="133"/>
      <c r="AH1222" s="133"/>
      <c r="AI1222" s="132">
        <f t="shared" si="395"/>
        <v>911126</v>
      </c>
      <c r="AJ1222" s="132">
        <f t="shared" si="396"/>
        <v>911126</v>
      </c>
      <c r="AK1222" s="133">
        <f t="shared" si="397"/>
        <v>0</v>
      </c>
      <c r="AL1222" s="198"/>
      <c r="AM1222" s="133" t="s">
        <v>886</v>
      </c>
      <c r="AN1222" s="246">
        <v>44871</v>
      </c>
      <c r="AO1222" s="137"/>
      <c r="AP1222" s="254"/>
      <c r="AQ1222" s="254"/>
      <c r="AR1222" s="254"/>
      <c r="AS1222" s="254"/>
      <c r="AT1222" s="254"/>
      <c r="AU1222" s="254"/>
      <c r="AV1222" s="254"/>
      <c r="AW1222" s="254"/>
      <c r="AX1222" s="254"/>
      <c r="AY1222" s="254"/>
      <c r="AZ1222" s="254"/>
      <c r="BA1222" s="254"/>
      <c r="BB1222" s="254"/>
      <c r="BC1222" s="254"/>
      <c r="BD1222" s="254"/>
      <c r="BE1222" s="254"/>
    </row>
    <row r="1223" s="97" customFormat="1" customHeight="1" spans="1:57">
      <c r="A1223" s="115" t="s">
        <v>9397</v>
      </c>
      <c r="B1223" s="111" t="s">
        <v>9398</v>
      </c>
      <c r="C1223" s="554" t="s">
        <v>9399</v>
      </c>
      <c r="D1223" s="113"/>
      <c r="E1223" s="111">
        <v>13203717219</v>
      </c>
      <c r="F1223" s="267">
        <v>4</v>
      </c>
      <c r="G1223" s="268">
        <v>4489</v>
      </c>
      <c r="H1223" s="274">
        <v>16.53</v>
      </c>
      <c r="I1223" s="274" t="s">
        <v>2657</v>
      </c>
      <c r="J1223" s="113" t="s">
        <v>9400</v>
      </c>
      <c r="K1223" s="116">
        <v>15.4</v>
      </c>
      <c r="L1223" s="266" t="s">
        <v>9401</v>
      </c>
      <c r="M1223" s="266"/>
      <c r="N1223" s="113" t="s">
        <v>66</v>
      </c>
      <c r="O1223" s="113"/>
      <c r="P1223" s="113"/>
      <c r="Q1223" s="113"/>
      <c r="R1223" s="113"/>
      <c r="S1223" s="121">
        <v>5000</v>
      </c>
      <c r="T1223" s="292">
        <f t="shared" si="391"/>
        <v>-5000</v>
      </c>
      <c r="U1223" s="113"/>
      <c r="V1223" s="113"/>
      <c r="W1223" s="113"/>
      <c r="X1223" s="113"/>
      <c r="Y1223" s="113"/>
      <c r="Z1223" s="113"/>
      <c r="AA1223" s="275"/>
      <c r="AB1223" s="113"/>
      <c r="AC1223" s="113"/>
      <c r="AD1223" s="122"/>
      <c r="AE1223" s="133"/>
      <c r="AF1223" s="115"/>
      <c r="AG1223" s="133"/>
      <c r="AH1223" s="133"/>
      <c r="AI1223" s="132">
        <f t="shared" si="395"/>
        <v>5000</v>
      </c>
      <c r="AJ1223" s="132">
        <f t="shared" si="396"/>
        <v>5000</v>
      </c>
      <c r="AK1223" s="133">
        <f t="shared" si="397"/>
        <v>0</v>
      </c>
      <c r="AL1223" s="198"/>
      <c r="AM1223" s="133" t="s">
        <v>886</v>
      </c>
      <c r="AN1223" s="246">
        <v>44871</v>
      </c>
      <c r="AO1223" s="100"/>
      <c r="AP1223" s="96"/>
      <c r="AQ1223" s="96"/>
      <c r="AR1223" s="96"/>
      <c r="AS1223" s="96"/>
      <c r="AT1223" s="96"/>
      <c r="AU1223" s="96"/>
      <c r="AV1223" s="96"/>
      <c r="AW1223" s="96"/>
      <c r="AX1223" s="96"/>
      <c r="AY1223" s="96"/>
      <c r="AZ1223" s="96"/>
      <c r="BA1223" s="96"/>
      <c r="BB1223" s="96"/>
      <c r="BC1223" s="96"/>
      <c r="BD1223" s="96"/>
      <c r="BE1223" s="96"/>
    </row>
    <row r="1224" s="97" customFormat="1" customHeight="1" spans="1:57">
      <c r="A1224" s="115" t="s">
        <v>9402</v>
      </c>
      <c r="B1224" s="111" t="s">
        <v>9403</v>
      </c>
      <c r="C1224" s="554" t="s">
        <v>9404</v>
      </c>
      <c r="D1224" s="113" t="s">
        <v>9405</v>
      </c>
      <c r="E1224" s="111">
        <v>18203609079</v>
      </c>
      <c r="F1224" s="267">
        <v>1</v>
      </c>
      <c r="G1224" s="268">
        <v>1626</v>
      </c>
      <c r="H1224" s="274">
        <v>15.94</v>
      </c>
      <c r="I1224" s="274" t="s">
        <v>2657</v>
      </c>
      <c r="J1224" s="113" t="s">
        <v>9406</v>
      </c>
      <c r="K1224" s="116">
        <v>13.7</v>
      </c>
      <c r="L1224" s="266" t="s">
        <v>2961</v>
      </c>
      <c r="M1224" s="266" t="s">
        <v>2954</v>
      </c>
      <c r="N1224" s="113" t="s">
        <v>66</v>
      </c>
      <c r="O1224" s="113"/>
      <c r="P1224" s="113"/>
      <c r="Q1224" s="113">
        <v>48212.77</v>
      </c>
      <c r="R1224" s="113">
        <v>660515</v>
      </c>
      <c r="S1224" s="121">
        <v>330515</v>
      </c>
      <c r="T1224" s="292">
        <f t="shared" si="391"/>
        <v>330000</v>
      </c>
      <c r="U1224" s="113"/>
      <c r="V1224" s="113"/>
      <c r="W1224" s="113"/>
      <c r="X1224" s="113"/>
      <c r="Y1224" s="113"/>
      <c r="Z1224" s="113"/>
      <c r="AA1224" s="275"/>
      <c r="AB1224" s="113" t="s">
        <v>9407</v>
      </c>
      <c r="AC1224" s="113"/>
      <c r="AD1224" s="122"/>
      <c r="AE1224" s="133"/>
      <c r="AF1224" s="115"/>
      <c r="AG1224" s="133"/>
      <c r="AH1224" s="133"/>
      <c r="AI1224" s="132">
        <f t="shared" si="395"/>
        <v>330515</v>
      </c>
      <c r="AJ1224" s="132">
        <f t="shared" si="396"/>
        <v>330515</v>
      </c>
      <c r="AK1224" s="133">
        <f t="shared" si="397"/>
        <v>0</v>
      </c>
      <c r="AL1224" s="198"/>
      <c r="AM1224" s="133" t="s">
        <v>886</v>
      </c>
      <c r="AN1224" s="246">
        <v>44871</v>
      </c>
      <c r="AO1224" s="100"/>
      <c r="AP1224" s="96"/>
      <c r="AQ1224" s="96"/>
      <c r="AR1224" s="96"/>
      <c r="AS1224" s="96"/>
      <c r="AT1224" s="96"/>
      <c r="AU1224" s="96"/>
      <c r="AV1224" s="96"/>
      <c r="AW1224" s="96"/>
      <c r="AX1224" s="96"/>
      <c r="AY1224" s="96"/>
      <c r="AZ1224" s="96"/>
      <c r="BA1224" s="96"/>
      <c r="BB1224" s="96"/>
      <c r="BC1224" s="96"/>
      <c r="BD1224" s="96"/>
      <c r="BE1224" s="96"/>
    </row>
    <row r="1225" s="97" customFormat="1" customHeight="1" spans="1:57">
      <c r="A1225" s="115" t="s">
        <v>9408</v>
      </c>
      <c r="B1225" s="139" t="s">
        <v>9409</v>
      </c>
      <c r="C1225" s="139" t="s">
        <v>9410</v>
      </c>
      <c r="D1225" s="374"/>
      <c r="E1225" s="140">
        <v>19903800010</v>
      </c>
      <c r="F1225" s="375">
        <v>3</v>
      </c>
      <c r="G1225" s="376">
        <v>3479</v>
      </c>
      <c r="H1225" s="141">
        <v>16.51</v>
      </c>
      <c r="I1225" s="141" t="s">
        <v>2657</v>
      </c>
      <c r="J1225" s="140" t="s">
        <v>9411</v>
      </c>
      <c r="K1225" s="140">
        <v>16.27</v>
      </c>
      <c r="L1225" s="378" t="s">
        <v>2675</v>
      </c>
      <c r="M1225" s="378"/>
      <c r="N1225" s="140" t="s">
        <v>66</v>
      </c>
      <c r="O1225" s="140"/>
      <c r="P1225" s="140"/>
      <c r="Q1225" s="140"/>
      <c r="R1225" s="140"/>
      <c r="S1225" s="374">
        <v>20000</v>
      </c>
      <c r="T1225" s="388">
        <f t="shared" si="391"/>
        <v>-20000</v>
      </c>
      <c r="U1225" s="140"/>
      <c r="V1225" s="140"/>
      <c r="W1225" s="140"/>
      <c r="X1225" s="140"/>
      <c r="Y1225" s="140"/>
      <c r="Z1225" s="140"/>
      <c r="AA1225" s="140"/>
      <c r="AB1225" s="140"/>
      <c r="AC1225" s="113"/>
      <c r="AD1225" s="122"/>
      <c r="AE1225" s="133"/>
      <c r="AF1225" s="115"/>
      <c r="AG1225" s="133"/>
      <c r="AH1225" s="133"/>
      <c r="AI1225" s="132">
        <f t="shared" si="395"/>
        <v>20000</v>
      </c>
      <c r="AJ1225" s="132">
        <f t="shared" si="396"/>
        <v>20000</v>
      </c>
      <c r="AK1225" s="133">
        <f t="shared" si="397"/>
        <v>0</v>
      </c>
      <c r="AL1225" s="198" t="s">
        <v>1940</v>
      </c>
      <c r="AM1225" s="133" t="s">
        <v>900</v>
      </c>
      <c r="AN1225" s="246">
        <v>44887</v>
      </c>
      <c r="AO1225" s="100"/>
      <c r="AP1225" s="96"/>
      <c r="AQ1225" s="96"/>
      <c r="AR1225" s="96"/>
      <c r="AS1225" s="96"/>
      <c r="AT1225" s="96"/>
      <c r="AU1225" s="96"/>
      <c r="AV1225" s="96"/>
      <c r="AW1225" s="96"/>
      <c r="AX1225" s="96"/>
      <c r="AY1225" s="96"/>
      <c r="AZ1225" s="96"/>
      <c r="BA1225" s="96"/>
      <c r="BB1225" s="96"/>
      <c r="BC1225" s="96"/>
      <c r="BD1225" s="96"/>
      <c r="BE1225" s="96"/>
    </row>
    <row r="1226" s="97" customFormat="1" customHeight="1" spans="1:57">
      <c r="A1226" s="115" t="s">
        <v>9412</v>
      </c>
      <c r="B1226" s="139" t="s">
        <v>9413</v>
      </c>
      <c r="C1226" s="139" t="s">
        <v>9414</v>
      </c>
      <c r="D1226" s="374" t="s">
        <v>9415</v>
      </c>
      <c r="E1226" s="140">
        <v>13703716482</v>
      </c>
      <c r="F1226" s="375">
        <v>3</v>
      </c>
      <c r="G1226" s="376">
        <v>3259</v>
      </c>
      <c r="H1226" s="141">
        <v>19.7</v>
      </c>
      <c r="I1226" s="141" t="s">
        <v>2657</v>
      </c>
      <c r="J1226" s="140" t="s">
        <v>9416</v>
      </c>
      <c r="K1226" s="144">
        <v>16.54</v>
      </c>
      <c r="L1226" s="378" t="s">
        <v>2691</v>
      </c>
      <c r="M1226" s="378" t="s">
        <v>5553</v>
      </c>
      <c r="N1226" s="140" t="s">
        <v>56</v>
      </c>
      <c r="O1226" s="140"/>
      <c r="P1226" s="140"/>
      <c r="Q1226" s="140">
        <v>31435.33</v>
      </c>
      <c r="R1226" s="140">
        <v>619276</v>
      </c>
      <c r="S1226" s="374">
        <v>619276</v>
      </c>
      <c r="T1226" s="388">
        <f t="shared" si="391"/>
        <v>0</v>
      </c>
      <c r="U1226" s="140"/>
      <c r="V1226" s="140">
        <v>1280</v>
      </c>
      <c r="W1226" s="140">
        <v>550</v>
      </c>
      <c r="X1226" s="140"/>
      <c r="Y1226" s="140" t="s">
        <v>2669</v>
      </c>
      <c r="Z1226" s="140" t="s">
        <v>48</v>
      </c>
      <c r="AA1226" s="391">
        <v>44051</v>
      </c>
      <c r="AB1226" s="140"/>
      <c r="AC1226" s="113"/>
      <c r="AD1226" s="122"/>
      <c r="AE1226" s="133"/>
      <c r="AF1226" s="115"/>
      <c r="AG1226" s="133"/>
      <c r="AH1226" s="133"/>
      <c r="AI1226" s="132">
        <f t="shared" si="395"/>
        <v>621106</v>
      </c>
      <c r="AJ1226" s="132">
        <f t="shared" si="396"/>
        <v>621106</v>
      </c>
      <c r="AK1226" s="133">
        <f t="shared" si="397"/>
        <v>0</v>
      </c>
      <c r="AL1226" s="198"/>
      <c r="AM1226" s="133" t="s">
        <v>900</v>
      </c>
      <c r="AN1226" s="246">
        <v>44887</v>
      </c>
      <c r="AO1226" s="100"/>
      <c r="AP1226" s="96"/>
      <c r="AQ1226" s="96"/>
      <c r="AR1226" s="96"/>
      <c r="AS1226" s="96"/>
      <c r="AT1226" s="96"/>
      <c r="AU1226" s="96"/>
      <c r="AV1226" s="96"/>
      <c r="AW1226" s="96"/>
      <c r="AX1226" s="96"/>
      <c r="AY1226" s="96"/>
      <c r="AZ1226" s="96"/>
      <c r="BA1226" s="96"/>
      <c r="BB1226" s="96"/>
      <c r="BC1226" s="96"/>
      <c r="BD1226" s="96"/>
      <c r="BE1226" s="96"/>
    </row>
    <row r="1227" s="97" customFormat="1" customHeight="1" spans="1:57">
      <c r="A1227" s="115" t="s">
        <v>9417</v>
      </c>
      <c r="B1227" s="139" t="s">
        <v>2218</v>
      </c>
      <c r="C1227" s="560" t="s">
        <v>9418</v>
      </c>
      <c r="D1227" s="140" t="s">
        <v>9419</v>
      </c>
      <c r="E1227" s="140">
        <v>13569926363</v>
      </c>
      <c r="F1227" s="375">
        <v>1</v>
      </c>
      <c r="G1227" s="376">
        <v>1646</v>
      </c>
      <c r="H1227" s="141">
        <v>17.68</v>
      </c>
      <c r="I1227" s="141" t="s">
        <v>2657</v>
      </c>
      <c r="J1227" s="140" t="s">
        <v>9420</v>
      </c>
      <c r="K1227" s="140">
        <v>18.47</v>
      </c>
      <c r="L1227" s="378" t="s">
        <v>4389</v>
      </c>
      <c r="M1227" s="378" t="s">
        <v>4542</v>
      </c>
      <c r="N1227" s="140" t="s">
        <v>66</v>
      </c>
      <c r="O1227" s="140"/>
      <c r="P1227" s="140"/>
      <c r="Q1227" s="375">
        <v>47511.31</v>
      </c>
      <c r="R1227" s="140">
        <v>840000</v>
      </c>
      <c r="S1227" s="374">
        <v>440000</v>
      </c>
      <c r="T1227" s="388">
        <f t="shared" si="391"/>
        <v>400000</v>
      </c>
      <c r="U1227" s="140"/>
      <c r="V1227" s="140">
        <v>1149</v>
      </c>
      <c r="W1227" s="140">
        <v>550</v>
      </c>
      <c r="X1227" s="140"/>
      <c r="Y1227" s="140" t="s">
        <v>2669</v>
      </c>
      <c r="Z1227" s="140" t="s">
        <v>48</v>
      </c>
      <c r="AA1227" s="392">
        <v>44188</v>
      </c>
      <c r="AB1227" s="140" t="s">
        <v>9421</v>
      </c>
      <c r="AC1227" s="113">
        <v>1260</v>
      </c>
      <c r="AD1227" s="122"/>
      <c r="AE1227" s="133"/>
      <c r="AF1227" s="115"/>
      <c r="AG1227" s="133"/>
      <c r="AH1227" s="133"/>
      <c r="AI1227" s="132">
        <f t="shared" ref="AI1227:AI1237" si="398">S1227+U1227+V1227+W1227+X1227+AC1227+AD1227+AE1227</f>
        <v>442959</v>
      </c>
      <c r="AJ1227" s="132">
        <f t="shared" ref="AJ1227:AJ1237" si="399">S1227+U1227+V1227+W1227+X1227</f>
        <v>441699</v>
      </c>
      <c r="AK1227" s="133">
        <f t="shared" ref="AK1227:AK1237" si="400">AI1227-AJ1227</f>
        <v>1260</v>
      </c>
      <c r="AL1227" s="198"/>
      <c r="AM1227" s="133" t="s">
        <v>900</v>
      </c>
      <c r="AN1227" s="246">
        <v>44887</v>
      </c>
      <c r="AO1227" s="100"/>
      <c r="AP1227" s="96"/>
      <c r="AQ1227" s="96"/>
      <c r="AR1227" s="96"/>
      <c r="AS1227" s="96"/>
      <c r="AT1227" s="96"/>
      <c r="AU1227" s="96"/>
      <c r="AV1227" s="96"/>
      <c r="AW1227" s="96"/>
      <c r="AX1227" s="96"/>
      <c r="AY1227" s="96"/>
      <c r="AZ1227" s="96"/>
      <c r="BA1227" s="96"/>
      <c r="BB1227" s="96"/>
      <c r="BC1227" s="96"/>
      <c r="BD1227" s="96"/>
      <c r="BE1227" s="96"/>
    </row>
    <row r="1228" s="97" customFormat="1" customHeight="1" spans="1:57">
      <c r="A1228" s="115" t="s">
        <v>9422</v>
      </c>
      <c r="B1228" s="139" t="s">
        <v>9423</v>
      </c>
      <c r="C1228" s="560" t="s">
        <v>9424</v>
      </c>
      <c r="D1228" s="140" t="s">
        <v>9425</v>
      </c>
      <c r="E1228" s="140" t="s">
        <v>9426</v>
      </c>
      <c r="F1228" s="375">
        <v>1</v>
      </c>
      <c r="G1228" s="376">
        <v>1636</v>
      </c>
      <c r="H1228" s="141">
        <v>23.46</v>
      </c>
      <c r="I1228" s="141" t="s">
        <v>2657</v>
      </c>
      <c r="J1228" s="140" t="s">
        <v>9427</v>
      </c>
      <c r="K1228" s="144">
        <v>22.32</v>
      </c>
      <c r="L1228" s="378" t="s">
        <v>2920</v>
      </c>
      <c r="M1228" s="378" t="s">
        <v>9428</v>
      </c>
      <c r="N1228" s="140" t="s">
        <v>56</v>
      </c>
      <c r="O1228" s="140"/>
      <c r="P1228" s="140"/>
      <c r="Q1228" s="140">
        <v>47043.01</v>
      </c>
      <c r="R1228" s="140">
        <v>1103629</v>
      </c>
      <c r="S1228" s="374">
        <v>1103629</v>
      </c>
      <c r="T1228" s="388">
        <f t="shared" si="391"/>
        <v>0</v>
      </c>
      <c r="U1228" s="140"/>
      <c r="V1228" s="140">
        <v>1524</v>
      </c>
      <c r="W1228" s="140">
        <v>550</v>
      </c>
      <c r="X1228" s="140"/>
      <c r="Y1228" s="140" t="s">
        <v>2669</v>
      </c>
      <c r="Z1228" s="140" t="s">
        <v>48</v>
      </c>
      <c r="AA1228" s="392">
        <v>44196</v>
      </c>
      <c r="AB1228" s="140" t="s">
        <v>9429</v>
      </c>
      <c r="AC1228" s="113"/>
      <c r="AD1228" s="122"/>
      <c r="AE1228" s="133"/>
      <c r="AF1228" s="115"/>
      <c r="AG1228" s="133"/>
      <c r="AH1228" s="133"/>
      <c r="AI1228" s="132">
        <f t="shared" si="398"/>
        <v>1105703</v>
      </c>
      <c r="AJ1228" s="132">
        <f t="shared" si="399"/>
        <v>1105703</v>
      </c>
      <c r="AK1228" s="133">
        <f t="shared" si="400"/>
        <v>0</v>
      </c>
      <c r="AL1228" s="198"/>
      <c r="AM1228" s="133" t="s">
        <v>900</v>
      </c>
      <c r="AN1228" s="246">
        <v>44887</v>
      </c>
      <c r="AO1228" s="100"/>
      <c r="AP1228" s="96"/>
      <c r="AQ1228" s="96"/>
      <c r="AR1228" s="96"/>
      <c r="AS1228" s="96"/>
      <c r="AT1228" s="96"/>
      <c r="AU1228" s="96"/>
      <c r="AV1228" s="96"/>
      <c r="AW1228" s="96"/>
      <c r="AX1228" s="96"/>
      <c r="AY1228" s="96"/>
      <c r="AZ1228" s="96"/>
      <c r="BA1228" s="96"/>
      <c r="BB1228" s="96"/>
      <c r="BC1228" s="96"/>
      <c r="BD1228" s="96"/>
      <c r="BE1228" s="96"/>
    </row>
    <row r="1229" s="97" customFormat="1" customHeight="1" spans="1:57">
      <c r="A1229" s="115" t="s">
        <v>9430</v>
      </c>
      <c r="B1229" s="139" t="s">
        <v>9431</v>
      </c>
      <c r="C1229" s="560" t="s">
        <v>9432</v>
      </c>
      <c r="D1229" s="140" t="s">
        <v>9433</v>
      </c>
      <c r="E1229" s="140">
        <v>15837132776</v>
      </c>
      <c r="F1229" s="375">
        <v>1</v>
      </c>
      <c r="G1229" s="376">
        <v>1210</v>
      </c>
      <c r="H1229" s="141">
        <v>20.14</v>
      </c>
      <c r="I1229" s="141" t="s">
        <v>2657</v>
      </c>
      <c r="J1229" s="140" t="s">
        <v>9434</v>
      </c>
      <c r="K1229" s="144">
        <v>21.12</v>
      </c>
      <c r="L1229" s="378" t="s">
        <v>9435</v>
      </c>
      <c r="M1229" s="378" t="s">
        <v>5272</v>
      </c>
      <c r="N1229" s="140" t="s">
        <v>66</v>
      </c>
      <c r="O1229" s="140"/>
      <c r="P1229" s="140"/>
      <c r="Q1229" s="140">
        <v>47669.65</v>
      </c>
      <c r="R1229" s="140">
        <v>1006783</v>
      </c>
      <c r="S1229" s="374">
        <v>506783</v>
      </c>
      <c r="T1229" s="388">
        <f t="shared" si="391"/>
        <v>500000</v>
      </c>
      <c r="U1229" s="140"/>
      <c r="V1229" s="140"/>
      <c r="W1229" s="140"/>
      <c r="X1229" s="140"/>
      <c r="Y1229" s="140"/>
      <c r="Z1229" s="140"/>
      <c r="AA1229" s="140"/>
      <c r="AB1229" s="140"/>
      <c r="AC1229" s="113"/>
      <c r="AD1229" s="122"/>
      <c r="AE1229" s="133"/>
      <c r="AF1229" s="115"/>
      <c r="AG1229" s="133"/>
      <c r="AH1229" s="133"/>
      <c r="AI1229" s="132">
        <f t="shared" si="398"/>
        <v>506783</v>
      </c>
      <c r="AJ1229" s="132">
        <f t="shared" si="399"/>
        <v>506783</v>
      </c>
      <c r="AK1229" s="133">
        <f t="shared" si="400"/>
        <v>0</v>
      </c>
      <c r="AL1229" s="198"/>
      <c r="AM1229" s="133" t="s">
        <v>900</v>
      </c>
      <c r="AN1229" s="246">
        <v>44887</v>
      </c>
      <c r="AO1229" s="100"/>
      <c r="AP1229" s="96"/>
      <c r="AQ1229" s="96"/>
      <c r="AR1229" s="96"/>
      <c r="AS1229" s="96"/>
      <c r="AT1229" s="96"/>
      <c r="AU1229" s="96"/>
      <c r="AV1229" s="96"/>
      <c r="AW1229" s="96"/>
      <c r="AX1229" s="96"/>
      <c r="AY1229" s="96"/>
      <c r="AZ1229" s="96"/>
      <c r="BA1229" s="96"/>
      <c r="BB1229" s="96"/>
      <c r="BC1229" s="96"/>
      <c r="BD1229" s="96"/>
      <c r="BE1229" s="96"/>
    </row>
    <row r="1230" s="97" customFormat="1" customHeight="1" spans="1:57">
      <c r="A1230" s="115" t="s">
        <v>9436</v>
      </c>
      <c r="B1230" s="139" t="s">
        <v>9437</v>
      </c>
      <c r="C1230" s="139" t="s">
        <v>9438</v>
      </c>
      <c r="D1230" s="374" t="s">
        <v>9439</v>
      </c>
      <c r="E1230" s="140">
        <v>15617865988</v>
      </c>
      <c r="F1230" s="375">
        <v>3</v>
      </c>
      <c r="G1230" s="376">
        <v>3483</v>
      </c>
      <c r="H1230" s="141">
        <v>16.51</v>
      </c>
      <c r="I1230" s="141" t="s">
        <v>2657</v>
      </c>
      <c r="J1230" s="140" t="s">
        <v>9440</v>
      </c>
      <c r="K1230" s="140">
        <v>16.27</v>
      </c>
      <c r="L1230" s="378" t="s">
        <v>3836</v>
      </c>
      <c r="M1230" s="378" t="s">
        <v>8653</v>
      </c>
      <c r="N1230" s="140" t="s">
        <v>66</v>
      </c>
      <c r="O1230" s="140"/>
      <c r="P1230" s="140"/>
      <c r="Q1230" s="140">
        <v>31616.96</v>
      </c>
      <c r="R1230" s="140">
        <v>514408</v>
      </c>
      <c r="S1230" s="374">
        <v>264408</v>
      </c>
      <c r="T1230" s="388">
        <f t="shared" si="391"/>
        <v>250000</v>
      </c>
      <c r="U1230" s="140"/>
      <c r="V1230" s="140"/>
      <c r="W1230" s="140"/>
      <c r="X1230" s="140"/>
      <c r="Y1230" s="140"/>
      <c r="Z1230" s="140"/>
      <c r="AA1230" s="140"/>
      <c r="AB1230" s="140" t="s">
        <v>9441</v>
      </c>
      <c r="AC1230" s="113"/>
      <c r="AD1230" s="122"/>
      <c r="AE1230" s="133"/>
      <c r="AF1230" s="115"/>
      <c r="AG1230" s="133"/>
      <c r="AH1230" s="133"/>
      <c r="AI1230" s="132">
        <f t="shared" si="398"/>
        <v>264408</v>
      </c>
      <c r="AJ1230" s="132">
        <f t="shared" si="399"/>
        <v>264408</v>
      </c>
      <c r="AK1230" s="133">
        <f t="shared" si="400"/>
        <v>0</v>
      </c>
      <c r="AL1230" s="198"/>
      <c r="AM1230" s="133" t="s">
        <v>900</v>
      </c>
      <c r="AN1230" s="246">
        <v>44887</v>
      </c>
      <c r="AO1230" s="100"/>
      <c r="AP1230" s="96"/>
      <c r="AQ1230" s="96"/>
      <c r="AR1230" s="96"/>
      <c r="AS1230" s="96"/>
      <c r="AT1230" s="96"/>
      <c r="AU1230" s="96"/>
      <c r="AV1230" s="96"/>
      <c r="AW1230" s="96"/>
      <c r="AX1230" s="96"/>
      <c r="AY1230" s="96"/>
      <c r="AZ1230" s="96"/>
      <c r="BA1230" s="96"/>
      <c r="BB1230" s="96"/>
      <c r="BC1230" s="96"/>
      <c r="BD1230" s="96"/>
      <c r="BE1230" s="96"/>
    </row>
    <row r="1231" s="97" customFormat="1" customHeight="1" spans="1:57">
      <c r="A1231" s="115" t="s">
        <v>9442</v>
      </c>
      <c r="B1231" s="377" t="s">
        <v>9443</v>
      </c>
      <c r="C1231" s="377" t="s">
        <v>9444</v>
      </c>
      <c r="D1231" s="378" t="s">
        <v>9445</v>
      </c>
      <c r="E1231" s="378" t="s">
        <v>9446</v>
      </c>
      <c r="F1231" s="375">
        <v>3</v>
      </c>
      <c r="G1231" s="376">
        <v>3198</v>
      </c>
      <c r="H1231" s="141">
        <v>18.75</v>
      </c>
      <c r="I1231" s="141" t="s">
        <v>2665</v>
      </c>
      <c r="J1231" s="140" t="s">
        <v>9447</v>
      </c>
      <c r="K1231" s="144">
        <v>22.03</v>
      </c>
      <c r="L1231" s="378" t="s">
        <v>5660</v>
      </c>
      <c r="M1231" s="378" t="s">
        <v>3145</v>
      </c>
      <c r="N1231" s="378" t="s">
        <v>56</v>
      </c>
      <c r="O1231" s="378"/>
      <c r="P1231" s="378"/>
      <c r="Q1231" s="144">
        <v>30653.7</v>
      </c>
      <c r="R1231" s="374">
        <v>574757</v>
      </c>
      <c r="S1231" s="374">
        <v>574757</v>
      </c>
      <c r="T1231" s="388">
        <f t="shared" si="391"/>
        <v>0</v>
      </c>
      <c r="U1231" s="140"/>
      <c r="V1231" s="140">
        <v>1218</v>
      </c>
      <c r="W1231" s="140">
        <v>550</v>
      </c>
      <c r="X1231" s="140">
        <v>98776</v>
      </c>
      <c r="Y1231" s="140" t="s">
        <v>2669</v>
      </c>
      <c r="Z1231" s="140" t="s">
        <v>48</v>
      </c>
      <c r="AA1231" s="391">
        <v>44023</v>
      </c>
      <c r="AB1231" s="378"/>
      <c r="AC1231" s="113"/>
      <c r="AD1231" s="122"/>
      <c r="AE1231" s="133"/>
      <c r="AF1231" s="115"/>
      <c r="AG1231" s="133"/>
      <c r="AH1231" s="133"/>
      <c r="AI1231" s="132">
        <f t="shared" si="398"/>
        <v>675301</v>
      </c>
      <c r="AJ1231" s="132">
        <f t="shared" si="399"/>
        <v>675301</v>
      </c>
      <c r="AK1231" s="133">
        <f t="shared" si="400"/>
        <v>0</v>
      </c>
      <c r="AL1231" s="198"/>
      <c r="AM1231" s="133" t="s">
        <v>900</v>
      </c>
      <c r="AN1231" s="246">
        <v>44887</v>
      </c>
      <c r="AO1231" s="100"/>
      <c r="AP1231" s="96"/>
      <c r="AQ1231" s="96"/>
      <c r="AR1231" s="96"/>
      <c r="AS1231" s="96"/>
      <c r="AT1231" s="96"/>
      <c r="AU1231" s="96"/>
      <c r="AV1231" s="96"/>
      <c r="AW1231" s="96"/>
      <c r="AX1231" s="96"/>
      <c r="AY1231" s="96"/>
      <c r="AZ1231" s="96"/>
      <c r="BA1231" s="96"/>
      <c r="BB1231" s="96"/>
      <c r="BC1231" s="96"/>
      <c r="BD1231" s="96"/>
      <c r="BE1231" s="96"/>
    </row>
    <row r="1232" s="97" customFormat="1" customHeight="1" spans="1:57">
      <c r="A1232" s="115" t="s">
        <v>9448</v>
      </c>
      <c r="B1232" s="139" t="s">
        <v>9449</v>
      </c>
      <c r="C1232" s="560" t="s">
        <v>9450</v>
      </c>
      <c r="D1232" s="140" t="s">
        <v>9451</v>
      </c>
      <c r="E1232" s="140">
        <v>13383837179</v>
      </c>
      <c r="F1232" s="375">
        <v>1</v>
      </c>
      <c r="G1232" s="376">
        <v>1618</v>
      </c>
      <c r="H1232" s="141">
        <v>13.5</v>
      </c>
      <c r="I1232" s="141" t="s">
        <v>2657</v>
      </c>
      <c r="J1232" s="140" t="s">
        <v>9452</v>
      </c>
      <c r="K1232" s="144">
        <v>13.55</v>
      </c>
      <c r="L1232" s="378" t="s">
        <v>3858</v>
      </c>
      <c r="M1232" s="378" t="s">
        <v>3073</v>
      </c>
      <c r="N1232" s="140" t="s">
        <v>66</v>
      </c>
      <c r="O1232" s="140"/>
      <c r="P1232" s="140"/>
      <c r="Q1232" s="140">
        <v>47730.63</v>
      </c>
      <c r="R1232" s="140">
        <v>646750</v>
      </c>
      <c r="S1232" s="374">
        <v>326750</v>
      </c>
      <c r="T1232" s="388">
        <f t="shared" si="391"/>
        <v>320000</v>
      </c>
      <c r="U1232" s="140"/>
      <c r="V1232" s="140"/>
      <c r="W1232" s="140"/>
      <c r="X1232" s="140"/>
      <c r="Y1232" s="140"/>
      <c r="Z1232" s="140"/>
      <c r="AA1232" s="140"/>
      <c r="AB1232" s="140"/>
      <c r="AC1232" s="113"/>
      <c r="AD1232" s="122"/>
      <c r="AE1232" s="133"/>
      <c r="AF1232" s="115"/>
      <c r="AG1232" s="133"/>
      <c r="AH1232" s="133"/>
      <c r="AI1232" s="132">
        <f t="shared" si="398"/>
        <v>326750</v>
      </c>
      <c r="AJ1232" s="132">
        <f t="shared" si="399"/>
        <v>326750</v>
      </c>
      <c r="AK1232" s="133">
        <f t="shared" si="400"/>
        <v>0</v>
      </c>
      <c r="AL1232" s="198"/>
      <c r="AM1232" s="133" t="s">
        <v>900</v>
      </c>
      <c r="AN1232" s="246">
        <v>44887</v>
      </c>
      <c r="AO1232" s="100"/>
      <c r="AP1232" s="96"/>
      <c r="AQ1232" s="96"/>
      <c r="AR1232" s="96"/>
      <c r="AS1232" s="96"/>
      <c r="AT1232" s="96"/>
      <c r="AU1232" s="96"/>
      <c r="AV1232" s="96"/>
      <c r="AW1232" s="96"/>
      <c r="AX1232" s="96"/>
      <c r="AY1232" s="96"/>
      <c r="AZ1232" s="96"/>
      <c r="BA1232" s="96"/>
      <c r="BB1232" s="96"/>
      <c r="BC1232" s="96"/>
      <c r="BD1232" s="96"/>
      <c r="BE1232" s="96"/>
    </row>
    <row r="1233" s="97" customFormat="1" customHeight="1" spans="1:57">
      <c r="A1233" s="115" t="s">
        <v>9453</v>
      </c>
      <c r="B1233" s="111" t="s">
        <v>9454</v>
      </c>
      <c r="C1233" s="554" t="s">
        <v>9455</v>
      </c>
      <c r="D1233" s="113" t="s">
        <v>9456</v>
      </c>
      <c r="E1233" s="111">
        <v>18003739998</v>
      </c>
      <c r="F1233" s="267">
        <v>4</v>
      </c>
      <c r="G1233" s="268">
        <v>4393</v>
      </c>
      <c r="H1233" s="274">
        <v>16.92</v>
      </c>
      <c r="I1233" s="274" t="s">
        <v>2657</v>
      </c>
      <c r="J1233" s="113" t="s">
        <v>9457</v>
      </c>
      <c r="K1233" s="116">
        <v>12.13</v>
      </c>
      <c r="L1233" s="266" t="s">
        <v>4587</v>
      </c>
      <c r="M1233" s="266" t="s">
        <v>4587</v>
      </c>
      <c r="N1233" s="113" t="s">
        <v>66</v>
      </c>
      <c r="O1233" s="113"/>
      <c r="P1233" s="113"/>
      <c r="Q1233" s="113">
        <v>27145.18</v>
      </c>
      <c r="R1233" s="113">
        <v>329271</v>
      </c>
      <c r="S1233" s="121">
        <v>169271</v>
      </c>
      <c r="T1233" s="292">
        <f t="shared" si="391"/>
        <v>160000</v>
      </c>
      <c r="U1233" s="113"/>
      <c r="V1233" s="113"/>
      <c r="W1233" s="113"/>
      <c r="X1233" s="113"/>
      <c r="Y1233" s="113"/>
      <c r="Z1233" s="113"/>
      <c r="AA1233" s="275"/>
      <c r="AB1233" s="113"/>
      <c r="AC1233" s="113"/>
      <c r="AD1233" s="122"/>
      <c r="AE1233" s="133"/>
      <c r="AF1233" s="115"/>
      <c r="AG1233" s="133"/>
      <c r="AH1233" s="133"/>
      <c r="AI1233" s="132">
        <f t="shared" si="398"/>
        <v>169271</v>
      </c>
      <c r="AJ1233" s="132">
        <f t="shared" si="399"/>
        <v>169271</v>
      </c>
      <c r="AK1233" s="133">
        <f t="shared" si="400"/>
        <v>0</v>
      </c>
      <c r="AL1233" s="198"/>
      <c r="AM1233" s="133" t="s">
        <v>886</v>
      </c>
      <c r="AN1233" s="246">
        <v>44888</v>
      </c>
      <c r="AO1233" s="100"/>
      <c r="AP1233" s="96"/>
      <c r="AQ1233" s="96"/>
      <c r="AR1233" s="96"/>
      <c r="AS1233" s="96"/>
      <c r="AT1233" s="96"/>
      <c r="AU1233" s="96"/>
      <c r="AV1233" s="96"/>
      <c r="AW1233" s="96"/>
      <c r="AX1233" s="96"/>
      <c r="AY1233" s="96"/>
      <c r="AZ1233" s="96"/>
      <c r="BA1233" s="96"/>
      <c r="BB1233" s="96"/>
      <c r="BC1233" s="96"/>
      <c r="BD1233" s="96"/>
      <c r="BE1233" s="96"/>
    </row>
    <row r="1234" s="97" customFormat="1" customHeight="1" spans="1:57">
      <c r="A1234" s="115" t="s">
        <v>9458</v>
      </c>
      <c r="B1234" s="111" t="s">
        <v>9459</v>
      </c>
      <c r="C1234" s="111" t="s">
        <v>9460</v>
      </c>
      <c r="D1234" s="113" t="s">
        <v>9461</v>
      </c>
      <c r="E1234" s="111">
        <v>13014577233</v>
      </c>
      <c r="F1234" s="267">
        <v>3</v>
      </c>
      <c r="G1234" s="268">
        <v>3142</v>
      </c>
      <c r="H1234" s="274">
        <v>20.14</v>
      </c>
      <c r="I1234" s="274" t="s">
        <v>2657</v>
      </c>
      <c r="J1234" s="113" t="s">
        <v>9462</v>
      </c>
      <c r="K1234" s="116">
        <v>18.13</v>
      </c>
      <c r="L1234" s="266" t="s">
        <v>3408</v>
      </c>
      <c r="M1234" s="266" t="s">
        <v>3988</v>
      </c>
      <c r="N1234" s="113" t="s">
        <v>66</v>
      </c>
      <c r="O1234" s="113"/>
      <c r="P1234" s="113"/>
      <c r="Q1234" s="113">
        <v>31458.8</v>
      </c>
      <c r="R1234" s="113">
        <v>570348</v>
      </c>
      <c r="S1234" s="121">
        <v>290348</v>
      </c>
      <c r="T1234" s="292">
        <f t="shared" si="391"/>
        <v>280000</v>
      </c>
      <c r="U1234" s="113"/>
      <c r="V1234" s="113"/>
      <c r="W1234" s="113"/>
      <c r="X1234" s="113"/>
      <c r="Y1234" s="113"/>
      <c r="Z1234" s="113"/>
      <c r="AA1234" s="275"/>
      <c r="AB1234" s="113"/>
      <c r="AC1234" s="113"/>
      <c r="AD1234" s="122"/>
      <c r="AE1234" s="133"/>
      <c r="AF1234" s="115"/>
      <c r="AG1234" s="133"/>
      <c r="AH1234" s="133"/>
      <c r="AI1234" s="132">
        <f t="shared" si="398"/>
        <v>290348</v>
      </c>
      <c r="AJ1234" s="132">
        <f t="shared" si="399"/>
        <v>290348</v>
      </c>
      <c r="AK1234" s="133">
        <f t="shared" si="400"/>
        <v>0</v>
      </c>
      <c r="AL1234" s="198"/>
      <c r="AM1234" s="133" t="s">
        <v>886</v>
      </c>
      <c r="AN1234" s="246">
        <v>44888</v>
      </c>
      <c r="AO1234" s="100"/>
      <c r="AP1234" s="96"/>
      <c r="AQ1234" s="96"/>
      <c r="AR1234" s="96"/>
      <c r="AS1234" s="96"/>
      <c r="AT1234" s="96"/>
      <c r="AU1234" s="96"/>
      <c r="AV1234" s="96"/>
      <c r="AW1234" s="96"/>
      <c r="AX1234" s="96"/>
      <c r="AY1234" s="96"/>
      <c r="AZ1234" s="96"/>
      <c r="BA1234" s="96"/>
      <c r="BB1234" s="96"/>
      <c r="BC1234" s="96"/>
      <c r="BD1234" s="96"/>
      <c r="BE1234" s="96"/>
    </row>
    <row r="1235" s="97" customFormat="1" customHeight="1" spans="1:57">
      <c r="A1235" s="115" t="s">
        <v>9463</v>
      </c>
      <c r="B1235" s="111" t="s">
        <v>9464</v>
      </c>
      <c r="C1235" s="111" t="s">
        <v>9465</v>
      </c>
      <c r="D1235" s="113" t="s">
        <v>9466</v>
      </c>
      <c r="E1235" s="111" t="s">
        <v>9467</v>
      </c>
      <c r="F1235" s="267">
        <v>4</v>
      </c>
      <c r="G1235" s="268">
        <v>4127</v>
      </c>
      <c r="H1235" s="274">
        <v>27.08</v>
      </c>
      <c r="I1235" s="274" t="s">
        <v>2665</v>
      </c>
      <c r="J1235" s="113" t="s">
        <v>9468</v>
      </c>
      <c r="K1235" s="116">
        <v>31.53</v>
      </c>
      <c r="L1235" s="266" t="s">
        <v>3252</v>
      </c>
      <c r="M1235" s="266" t="s">
        <v>3211</v>
      </c>
      <c r="N1235" s="113" t="s">
        <v>56</v>
      </c>
      <c r="O1235" s="113"/>
      <c r="P1235" s="113"/>
      <c r="Q1235" s="113">
        <v>25372.66</v>
      </c>
      <c r="R1235" s="113">
        <v>687092</v>
      </c>
      <c r="S1235" s="121">
        <v>687092</v>
      </c>
      <c r="T1235" s="292">
        <f t="shared" si="391"/>
        <v>0</v>
      </c>
      <c r="U1235" s="113"/>
      <c r="V1235" s="113">
        <v>1760</v>
      </c>
      <c r="W1235" s="113">
        <v>550</v>
      </c>
      <c r="X1235" s="113">
        <v>110598</v>
      </c>
      <c r="Y1235" s="113" t="s">
        <v>2669</v>
      </c>
      <c r="Z1235" s="113" t="s">
        <v>48</v>
      </c>
      <c r="AA1235" s="275">
        <v>44064</v>
      </c>
      <c r="AB1235" s="113"/>
      <c r="AC1235" s="113"/>
      <c r="AD1235" s="122"/>
      <c r="AE1235" s="133"/>
      <c r="AF1235" s="115"/>
      <c r="AG1235" s="133"/>
      <c r="AH1235" s="133"/>
      <c r="AI1235" s="132">
        <f t="shared" si="398"/>
        <v>800000</v>
      </c>
      <c r="AJ1235" s="132">
        <f t="shared" si="399"/>
        <v>800000</v>
      </c>
      <c r="AK1235" s="133">
        <f t="shared" si="400"/>
        <v>0</v>
      </c>
      <c r="AL1235" s="198"/>
      <c r="AM1235" s="133" t="s">
        <v>886</v>
      </c>
      <c r="AN1235" s="246">
        <v>44888</v>
      </c>
      <c r="AO1235" s="100"/>
      <c r="AP1235" s="96"/>
      <c r="AQ1235" s="96"/>
      <c r="AR1235" s="96"/>
      <c r="AS1235" s="96"/>
      <c r="AT1235" s="96"/>
      <c r="AU1235" s="96"/>
      <c r="AV1235" s="96"/>
      <c r="AW1235" s="96"/>
      <c r="AX1235" s="96"/>
      <c r="AY1235" s="96"/>
      <c r="AZ1235" s="96"/>
      <c r="BA1235" s="96"/>
      <c r="BB1235" s="96"/>
      <c r="BC1235" s="96"/>
      <c r="BD1235" s="96"/>
      <c r="BE1235" s="96"/>
    </row>
    <row r="1236" s="97" customFormat="1" customHeight="1" spans="1:57">
      <c r="A1236" s="115" t="s">
        <v>9469</v>
      </c>
      <c r="B1236" s="111" t="s">
        <v>9470</v>
      </c>
      <c r="C1236" s="111" t="s">
        <v>9471</v>
      </c>
      <c r="D1236" s="113" t="s">
        <v>9472</v>
      </c>
      <c r="E1236" s="111">
        <v>13733645632</v>
      </c>
      <c r="F1236" s="267">
        <v>4</v>
      </c>
      <c r="G1236" s="268">
        <v>4336</v>
      </c>
      <c r="H1236" s="274">
        <v>52.55</v>
      </c>
      <c r="I1236" s="274" t="s">
        <v>2657</v>
      </c>
      <c r="J1236" s="113" t="s">
        <v>9473</v>
      </c>
      <c r="K1236" s="116">
        <v>47.75</v>
      </c>
      <c r="L1236" s="266" t="s">
        <v>5591</v>
      </c>
      <c r="M1236" s="266" t="s">
        <v>3799</v>
      </c>
      <c r="N1236" s="113" t="s">
        <v>66</v>
      </c>
      <c r="O1236" s="113"/>
      <c r="P1236" s="113"/>
      <c r="Q1236" s="113">
        <v>25968.59</v>
      </c>
      <c r="R1236" s="113">
        <v>1240000</v>
      </c>
      <c r="S1236" s="121">
        <v>620000</v>
      </c>
      <c r="T1236" s="292">
        <f t="shared" si="391"/>
        <v>620000</v>
      </c>
      <c r="U1236" s="113"/>
      <c r="V1236" s="113"/>
      <c r="W1236" s="113"/>
      <c r="X1236" s="113"/>
      <c r="Y1236" s="113"/>
      <c r="Z1236" s="113"/>
      <c r="AA1236" s="275"/>
      <c r="AB1236" s="113"/>
      <c r="AC1236" s="113"/>
      <c r="AD1236" s="122"/>
      <c r="AE1236" s="133"/>
      <c r="AF1236" s="115"/>
      <c r="AG1236" s="133"/>
      <c r="AH1236" s="133"/>
      <c r="AI1236" s="132">
        <f t="shared" si="398"/>
        <v>620000</v>
      </c>
      <c r="AJ1236" s="132">
        <f t="shared" si="399"/>
        <v>620000</v>
      </c>
      <c r="AK1236" s="133">
        <f t="shared" si="400"/>
        <v>0</v>
      </c>
      <c r="AL1236" s="198"/>
      <c r="AM1236" s="133" t="s">
        <v>886</v>
      </c>
      <c r="AN1236" s="246">
        <v>44888</v>
      </c>
      <c r="AO1236" s="100"/>
      <c r="AP1236" s="96"/>
      <c r="AQ1236" s="96"/>
      <c r="AR1236" s="96"/>
      <c r="AS1236" s="96"/>
      <c r="AT1236" s="96"/>
      <c r="AU1236" s="96"/>
      <c r="AV1236" s="96"/>
      <c r="AW1236" s="96"/>
      <c r="AX1236" s="96"/>
      <c r="AY1236" s="96"/>
      <c r="AZ1236" s="96"/>
      <c r="BA1236" s="96"/>
      <c r="BB1236" s="96"/>
      <c r="BC1236" s="96"/>
      <c r="BD1236" s="96"/>
      <c r="BE1236" s="96"/>
    </row>
    <row r="1237" s="97" customFormat="1" customHeight="1" spans="1:57">
      <c r="A1237" s="115" t="s">
        <v>9474</v>
      </c>
      <c r="B1237" s="111" t="s">
        <v>9475</v>
      </c>
      <c r="C1237" s="111" t="s">
        <v>9476</v>
      </c>
      <c r="D1237" s="113" t="s">
        <v>9477</v>
      </c>
      <c r="E1237" s="111">
        <v>13937898516</v>
      </c>
      <c r="F1237" s="267">
        <v>3</v>
      </c>
      <c r="G1237" s="268">
        <v>3783</v>
      </c>
      <c r="H1237" s="274">
        <v>15.99</v>
      </c>
      <c r="I1237" s="274" t="s">
        <v>2657</v>
      </c>
      <c r="J1237" s="113" t="s">
        <v>9478</v>
      </c>
      <c r="K1237" s="116">
        <v>15.41</v>
      </c>
      <c r="L1237" s="266" t="s">
        <v>3179</v>
      </c>
      <c r="M1237" s="266" t="s">
        <v>2685</v>
      </c>
      <c r="N1237" s="113" t="s">
        <v>56</v>
      </c>
      <c r="O1237" s="113"/>
      <c r="P1237" s="113"/>
      <c r="Q1237" s="113">
        <v>31515.45</v>
      </c>
      <c r="R1237" s="113">
        <v>503932</v>
      </c>
      <c r="S1237" s="121">
        <v>503932</v>
      </c>
      <c r="T1237" s="292">
        <v>0</v>
      </c>
      <c r="U1237" s="113"/>
      <c r="V1237" s="113">
        <v>1039</v>
      </c>
      <c r="W1237" s="113">
        <v>550</v>
      </c>
      <c r="X1237" s="113"/>
      <c r="Y1237" s="113" t="s">
        <v>2669</v>
      </c>
      <c r="Z1237" s="113" t="s">
        <v>48</v>
      </c>
      <c r="AA1237" s="275">
        <v>44024</v>
      </c>
      <c r="AB1237" s="113"/>
      <c r="AC1237" s="113"/>
      <c r="AD1237" s="122"/>
      <c r="AE1237" s="133"/>
      <c r="AF1237" s="115"/>
      <c r="AG1237" s="133"/>
      <c r="AH1237" s="133"/>
      <c r="AI1237" s="132">
        <f t="shared" si="398"/>
        <v>505521</v>
      </c>
      <c r="AJ1237" s="132">
        <f t="shared" si="399"/>
        <v>505521</v>
      </c>
      <c r="AK1237" s="133">
        <f t="shared" si="400"/>
        <v>0</v>
      </c>
      <c r="AL1237" s="198"/>
      <c r="AM1237" s="133" t="s">
        <v>886</v>
      </c>
      <c r="AN1237" s="246">
        <v>44888</v>
      </c>
      <c r="AO1237" s="100"/>
      <c r="AP1237" s="96"/>
      <c r="AQ1237" s="96"/>
      <c r="AR1237" s="96"/>
      <c r="AS1237" s="96"/>
      <c r="AT1237" s="96"/>
      <c r="AU1237" s="96"/>
      <c r="AV1237" s="96"/>
      <c r="AW1237" s="96"/>
      <c r="AX1237" s="96"/>
      <c r="AY1237" s="96"/>
      <c r="AZ1237" s="96"/>
      <c r="BA1237" s="96"/>
      <c r="BB1237" s="96"/>
      <c r="BC1237" s="96"/>
      <c r="BD1237" s="96"/>
      <c r="BE1237" s="96"/>
    </row>
    <row r="1238" s="97" customFormat="1" customHeight="1" spans="1:57">
      <c r="A1238" s="115" t="s">
        <v>9479</v>
      </c>
      <c r="B1238" s="111" t="s">
        <v>9475</v>
      </c>
      <c r="C1238" s="554" t="s">
        <v>9476</v>
      </c>
      <c r="D1238" s="113" t="s">
        <v>9477</v>
      </c>
      <c r="E1238" s="111">
        <v>13931898516</v>
      </c>
      <c r="F1238" s="267">
        <v>1</v>
      </c>
      <c r="G1238" s="268">
        <v>1730</v>
      </c>
      <c r="H1238" s="274">
        <v>18.85</v>
      </c>
      <c r="I1238" s="274" t="s">
        <v>2657</v>
      </c>
      <c r="J1238" s="113" t="s">
        <v>9480</v>
      </c>
      <c r="K1238" s="116">
        <v>19.55</v>
      </c>
      <c r="L1238" s="266" t="s">
        <v>3179</v>
      </c>
      <c r="M1238" s="266" t="s">
        <v>2685</v>
      </c>
      <c r="N1238" s="113" t="s">
        <v>56</v>
      </c>
      <c r="O1238" s="113"/>
      <c r="P1238" s="113"/>
      <c r="Q1238" s="113">
        <v>47430.49</v>
      </c>
      <c r="R1238" s="113">
        <v>894065</v>
      </c>
      <c r="S1238" s="121">
        <v>894065</v>
      </c>
      <c r="T1238" s="292">
        <v>0</v>
      </c>
      <c r="U1238" s="113"/>
      <c r="V1238" s="113">
        <v>1225</v>
      </c>
      <c r="W1238" s="113">
        <v>550</v>
      </c>
      <c r="X1238" s="113"/>
      <c r="Y1238" s="113" t="s">
        <v>2669</v>
      </c>
      <c r="Z1238" s="113" t="s">
        <v>48</v>
      </c>
      <c r="AA1238" s="275">
        <v>44024</v>
      </c>
      <c r="AB1238" s="113"/>
      <c r="AC1238" s="113"/>
      <c r="AD1238" s="122"/>
      <c r="AE1238" s="133"/>
      <c r="AF1238" s="115"/>
      <c r="AG1238" s="133"/>
      <c r="AH1238" s="133"/>
      <c r="AI1238" s="132">
        <f t="shared" ref="AI1238:AI1260" si="401">S1238+U1238+V1238+W1238+X1238+AC1238+AD1238+AE1238</f>
        <v>895840</v>
      </c>
      <c r="AJ1238" s="132">
        <f t="shared" ref="AJ1238:AJ1251" si="402">S1238+U1238+V1238+W1238+X1238</f>
        <v>895840</v>
      </c>
      <c r="AK1238" s="133">
        <f t="shared" ref="AK1238:AK1260" si="403">AI1238-AJ1238</f>
        <v>0</v>
      </c>
      <c r="AL1238" s="198"/>
      <c r="AM1238" s="133" t="s">
        <v>886</v>
      </c>
      <c r="AN1238" s="246">
        <v>44888</v>
      </c>
      <c r="AO1238" s="100"/>
      <c r="AP1238" s="96"/>
      <c r="AQ1238" s="96"/>
      <c r="AR1238" s="96"/>
      <c r="AS1238" s="96"/>
      <c r="AT1238" s="96"/>
      <c r="AU1238" s="96"/>
      <c r="AV1238" s="96"/>
      <c r="AW1238" s="96"/>
      <c r="AX1238" s="96"/>
      <c r="AY1238" s="96"/>
      <c r="AZ1238" s="96"/>
      <c r="BA1238" s="96"/>
      <c r="BB1238" s="96"/>
      <c r="BC1238" s="96"/>
      <c r="BD1238" s="96"/>
      <c r="BE1238" s="96"/>
    </row>
    <row r="1239" s="97" customFormat="1" customHeight="1" spans="1:57">
      <c r="A1239" s="115" t="s">
        <v>9481</v>
      </c>
      <c r="B1239" s="111" t="s">
        <v>9482</v>
      </c>
      <c r="C1239" s="111" t="s">
        <v>9483</v>
      </c>
      <c r="D1239" s="113" t="s">
        <v>9484</v>
      </c>
      <c r="E1239" s="111">
        <v>13849094956</v>
      </c>
      <c r="F1239" s="267">
        <v>3</v>
      </c>
      <c r="G1239" s="268">
        <v>3573</v>
      </c>
      <c r="H1239" s="274">
        <v>9.74</v>
      </c>
      <c r="I1239" s="274" t="s">
        <v>2657</v>
      </c>
      <c r="J1239" s="113" t="s">
        <v>9485</v>
      </c>
      <c r="K1239" s="116">
        <v>7.89</v>
      </c>
      <c r="L1239" s="266" t="s">
        <v>4541</v>
      </c>
      <c r="M1239" s="266" t="s">
        <v>5754</v>
      </c>
      <c r="N1239" s="113" t="s">
        <v>56</v>
      </c>
      <c r="O1239" s="113"/>
      <c r="P1239" s="113"/>
      <c r="Q1239" s="113">
        <v>30813.69</v>
      </c>
      <c r="R1239" s="113">
        <v>243120</v>
      </c>
      <c r="S1239" s="121">
        <v>243120</v>
      </c>
      <c r="T1239" s="292">
        <f>R1239-S1239</f>
        <v>0</v>
      </c>
      <c r="U1239" s="113"/>
      <c r="V1239" s="113"/>
      <c r="W1239" s="113"/>
      <c r="X1239" s="113"/>
      <c r="Y1239" s="113"/>
      <c r="Z1239" s="113"/>
      <c r="AA1239" s="275"/>
      <c r="AB1239" s="113"/>
      <c r="AC1239" s="113"/>
      <c r="AD1239" s="122"/>
      <c r="AE1239" s="133"/>
      <c r="AF1239" s="115"/>
      <c r="AG1239" s="133"/>
      <c r="AH1239" s="133"/>
      <c r="AI1239" s="132">
        <f t="shared" si="401"/>
        <v>243120</v>
      </c>
      <c r="AJ1239" s="132">
        <f t="shared" si="402"/>
        <v>243120</v>
      </c>
      <c r="AK1239" s="133">
        <f t="shared" si="403"/>
        <v>0</v>
      </c>
      <c r="AL1239" s="198"/>
      <c r="AM1239" s="133" t="s">
        <v>886</v>
      </c>
      <c r="AN1239" s="246">
        <v>44888</v>
      </c>
      <c r="AO1239" s="100"/>
      <c r="AP1239" s="96"/>
      <c r="AQ1239" s="96"/>
      <c r="AR1239" s="96"/>
      <c r="AS1239" s="96"/>
      <c r="AT1239" s="96"/>
      <c r="AU1239" s="96"/>
      <c r="AV1239" s="96"/>
      <c r="AW1239" s="96"/>
      <c r="AX1239" s="96"/>
      <c r="AY1239" s="96"/>
      <c r="AZ1239" s="96"/>
      <c r="BA1239" s="96"/>
      <c r="BB1239" s="96"/>
      <c r="BC1239" s="96"/>
      <c r="BD1239" s="96"/>
      <c r="BE1239" s="96"/>
    </row>
    <row r="1240" s="97" customFormat="1" customHeight="1" spans="1:57">
      <c r="A1240" s="115" t="s">
        <v>9486</v>
      </c>
      <c r="B1240" s="111" t="s">
        <v>9487</v>
      </c>
      <c r="C1240" s="554" t="s">
        <v>9488</v>
      </c>
      <c r="D1240" s="113" t="s">
        <v>9489</v>
      </c>
      <c r="E1240" s="111">
        <v>13721474000</v>
      </c>
      <c r="F1240" s="267">
        <v>4</v>
      </c>
      <c r="G1240" s="268">
        <v>4413</v>
      </c>
      <c r="H1240" s="274">
        <v>15.59</v>
      </c>
      <c r="I1240" s="274" t="s">
        <v>2657</v>
      </c>
      <c r="J1240" s="113"/>
      <c r="K1240" s="116"/>
      <c r="L1240" s="266"/>
      <c r="M1240" s="266" t="s">
        <v>2928</v>
      </c>
      <c r="N1240" s="113" t="s">
        <v>56</v>
      </c>
      <c r="O1240" s="113"/>
      <c r="P1240" s="113"/>
      <c r="Q1240" s="113">
        <v>25442.27</v>
      </c>
      <c r="R1240" s="113">
        <v>396645</v>
      </c>
      <c r="S1240" s="121">
        <v>396645</v>
      </c>
      <c r="T1240" s="292">
        <v>0</v>
      </c>
      <c r="U1240" s="113"/>
      <c r="V1240" s="113">
        <v>1013</v>
      </c>
      <c r="W1240" s="113">
        <v>550</v>
      </c>
      <c r="X1240" s="113"/>
      <c r="Y1240" s="113" t="s">
        <v>2669</v>
      </c>
      <c r="Z1240" s="113" t="s">
        <v>48</v>
      </c>
      <c r="AA1240" s="275">
        <v>44055</v>
      </c>
      <c r="AB1240" s="113"/>
      <c r="AC1240" s="113"/>
      <c r="AD1240" s="122"/>
      <c r="AE1240" s="133"/>
      <c r="AF1240" s="115"/>
      <c r="AG1240" s="133"/>
      <c r="AH1240" s="133"/>
      <c r="AI1240" s="132">
        <f t="shared" si="401"/>
        <v>398208</v>
      </c>
      <c r="AJ1240" s="132">
        <f t="shared" si="402"/>
        <v>398208</v>
      </c>
      <c r="AK1240" s="133">
        <f t="shared" si="403"/>
        <v>0</v>
      </c>
      <c r="AL1240" s="198"/>
      <c r="AM1240" s="133" t="s">
        <v>886</v>
      </c>
      <c r="AN1240" s="246">
        <v>44888</v>
      </c>
      <c r="AO1240" s="100"/>
      <c r="AP1240" s="96"/>
      <c r="AQ1240" s="96"/>
      <c r="AR1240" s="96"/>
      <c r="AS1240" s="96"/>
      <c r="AT1240" s="96"/>
      <c r="AU1240" s="96"/>
      <c r="AV1240" s="96"/>
      <c r="AW1240" s="96"/>
      <c r="AX1240" s="96"/>
      <c r="AY1240" s="96"/>
      <c r="AZ1240" s="96"/>
      <c r="BA1240" s="96"/>
      <c r="BB1240" s="96"/>
      <c r="BC1240" s="96"/>
      <c r="BD1240" s="96"/>
      <c r="BE1240" s="96"/>
    </row>
    <row r="1241" s="97" customFormat="1" customHeight="1" spans="1:57">
      <c r="A1241" s="115" t="s">
        <v>9490</v>
      </c>
      <c r="B1241" s="111" t="s">
        <v>9487</v>
      </c>
      <c r="C1241" s="554" t="s">
        <v>9488</v>
      </c>
      <c r="D1241" s="113" t="s">
        <v>9489</v>
      </c>
      <c r="E1241" s="111">
        <v>13721474000</v>
      </c>
      <c r="F1241" s="267">
        <v>1</v>
      </c>
      <c r="G1241" s="268">
        <v>182</v>
      </c>
      <c r="H1241" s="274">
        <v>22.5</v>
      </c>
      <c r="I1241" s="274" t="s">
        <v>2657</v>
      </c>
      <c r="J1241" s="113" t="s">
        <v>9491</v>
      </c>
      <c r="K1241" s="116">
        <v>31.22</v>
      </c>
      <c r="L1241" s="266" t="s">
        <v>3338</v>
      </c>
      <c r="M1241" s="266" t="s">
        <v>2928</v>
      </c>
      <c r="N1241" s="113" t="s">
        <v>56</v>
      </c>
      <c r="O1241" s="113"/>
      <c r="P1241" s="113"/>
      <c r="Q1241" s="113">
        <v>45815.6</v>
      </c>
      <c r="R1241" s="113">
        <v>1030851</v>
      </c>
      <c r="S1241" s="121">
        <v>1030851</v>
      </c>
      <c r="T1241" s="292">
        <v>0</v>
      </c>
      <c r="U1241" s="113"/>
      <c r="V1241" s="113">
        <v>1462</v>
      </c>
      <c r="W1241" s="113">
        <v>550</v>
      </c>
      <c r="X1241" s="113"/>
      <c r="Y1241" s="113" t="s">
        <v>2669</v>
      </c>
      <c r="Z1241" s="113" t="s">
        <v>48</v>
      </c>
      <c r="AA1241" s="275">
        <v>44055</v>
      </c>
      <c r="AB1241" s="113"/>
      <c r="AC1241" s="113"/>
      <c r="AD1241" s="122"/>
      <c r="AE1241" s="133"/>
      <c r="AF1241" s="115"/>
      <c r="AG1241" s="133"/>
      <c r="AH1241" s="133"/>
      <c r="AI1241" s="132">
        <f t="shared" si="401"/>
        <v>1032863</v>
      </c>
      <c r="AJ1241" s="132">
        <f t="shared" si="402"/>
        <v>1032863</v>
      </c>
      <c r="AK1241" s="133">
        <f t="shared" si="403"/>
        <v>0</v>
      </c>
      <c r="AL1241" s="198"/>
      <c r="AM1241" s="133" t="s">
        <v>886</v>
      </c>
      <c r="AN1241" s="246">
        <v>44888</v>
      </c>
      <c r="AO1241" s="100"/>
      <c r="AP1241" s="96"/>
      <c r="AQ1241" s="96"/>
      <c r="AR1241" s="96"/>
      <c r="AS1241" s="96"/>
      <c r="AT1241" s="96"/>
      <c r="AU1241" s="96"/>
      <c r="AV1241" s="96"/>
      <c r="AW1241" s="96"/>
      <c r="AX1241" s="96"/>
      <c r="AY1241" s="96"/>
      <c r="AZ1241" s="96"/>
      <c r="BA1241" s="96"/>
      <c r="BB1241" s="96"/>
      <c r="BC1241" s="96"/>
      <c r="BD1241" s="96"/>
      <c r="BE1241" s="96"/>
    </row>
    <row r="1242" s="97" customFormat="1" customHeight="1" spans="1:57">
      <c r="A1242" s="115" t="s">
        <v>9492</v>
      </c>
      <c r="B1242" s="111" t="s">
        <v>9493</v>
      </c>
      <c r="C1242" s="554" t="s">
        <v>9494</v>
      </c>
      <c r="D1242" s="113" t="s">
        <v>9495</v>
      </c>
      <c r="E1242" s="111">
        <v>15993698086</v>
      </c>
      <c r="F1242" s="267">
        <v>4</v>
      </c>
      <c r="G1242" s="268">
        <v>4185</v>
      </c>
      <c r="H1242" s="274">
        <v>10.04</v>
      </c>
      <c r="I1242" s="274" t="s">
        <v>2657</v>
      </c>
      <c r="J1242" s="113" t="s">
        <v>9496</v>
      </c>
      <c r="K1242" s="116">
        <v>9.93</v>
      </c>
      <c r="L1242" s="266" t="s">
        <v>2920</v>
      </c>
      <c r="M1242" s="266" t="s">
        <v>4410</v>
      </c>
      <c r="N1242" s="113" t="s">
        <v>66</v>
      </c>
      <c r="O1242" s="113"/>
      <c r="P1242" s="113"/>
      <c r="Q1242" s="113">
        <v>27554.08</v>
      </c>
      <c r="R1242" s="113">
        <v>273612</v>
      </c>
      <c r="S1242" s="121">
        <v>143612</v>
      </c>
      <c r="T1242" s="292">
        <f t="shared" ref="T1242:T1248" si="404">R1242-S1242</f>
        <v>130000</v>
      </c>
      <c r="U1242" s="113"/>
      <c r="V1242" s="113"/>
      <c r="W1242" s="113"/>
      <c r="X1242" s="113"/>
      <c r="Y1242" s="113"/>
      <c r="Z1242" s="113"/>
      <c r="AA1242" s="275"/>
      <c r="AB1242" s="113"/>
      <c r="AC1242" s="113"/>
      <c r="AD1242" s="122"/>
      <c r="AE1242" s="133"/>
      <c r="AF1242" s="115"/>
      <c r="AG1242" s="133"/>
      <c r="AH1242" s="133"/>
      <c r="AI1242" s="132">
        <f t="shared" si="401"/>
        <v>143612</v>
      </c>
      <c r="AJ1242" s="132">
        <f t="shared" si="402"/>
        <v>143612</v>
      </c>
      <c r="AK1242" s="133">
        <f t="shared" si="403"/>
        <v>0</v>
      </c>
      <c r="AL1242" s="198"/>
      <c r="AM1242" s="133" t="s">
        <v>886</v>
      </c>
      <c r="AN1242" s="246">
        <v>44871</v>
      </c>
      <c r="AO1242" s="100"/>
      <c r="AP1242" s="96"/>
      <c r="AQ1242" s="96"/>
      <c r="AR1242" s="96"/>
      <c r="AS1242" s="96"/>
      <c r="AT1242" s="96"/>
      <c r="AU1242" s="96"/>
      <c r="AV1242" s="96"/>
      <c r="AW1242" s="96"/>
      <c r="AX1242" s="96"/>
      <c r="AY1242" s="96"/>
      <c r="AZ1242" s="96"/>
      <c r="BA1242" s="96"/>
      <c r="BB1242" s="96"/>
      <c r="BC1242" s="96"/>
      <c r="BD1242" s="96"/>
      <c r="BE1242" s="96"/>
    </row>
    <row r="1243" s="97" customFormat="1" customHeight="1" spans="1:57">
      <c r="A1243" s="115" t="s">
        <v>9497</v>
      </c>
      <c r="B1243" s="111" t="s">
        <v>9498</v>
      </c>
      <c r="C1243" s="554" t="s">
        <v>9499</v>
      </c>
      <c r="D1243" s="113" t="s">
        <v>9500</v>
      </c>
      <c r="E1243" s="111">
        <v>18339281888</v>
      </c>
      <c r="F1243" s="267">
        <v>1</v>
      </c>
      <c r="G1243" s="268">
        <v>167</v>
      </c>
      <c r="H1243" s="274">
        <v>21</v>
      </c>
      <c r="I1243" s="274" t="s">
        <v>2657</v>
      </c>
      <c r="J1243" s="113" t="s">
        <v>9501</v>
      </c>
      <c r="K1243" s="116">
        <v>15.02</v>
      </c>
      <c r="L1243" s="266" t="s">
        <v>3522</v>
      </c>
      <c r="M1243" s="266" t="s">
        <v>2960</v>
      </c>
      <c r="N1243" s="113" t="s">
        <v>66</v>
      </c>
      <c r="O1243" s="113"/>
      <c r="P1243" s="113"/>
      <c r="Q1243" s="113">
        <v>48680.89</v>
      </c>
      <c r="R1243" s="113">
        <v>731187</v>
      </c>
      <c r="S1243" s="121">
        <v>371187</v>
      </c>
      <c r="T1243" s="292">
        <f t="shared" si="404"/>
        <v>360000</v>
      </c>
      <c r="U1243" s="113"/>
      <c r="V1243" s="113"/>
      <c r="W1243" s="113"/>
      <c r="X1243" s="113"/>
      <c r="Y1243" s="113"/>
      <c r="Z1243" s="113"/>
      <c r="AA1243" s="275"/>
      <c r="AB1243" s="113"/>
      <c r="AC1243" s="113"/>
      <c r="AD1243" s="122"/>
      <c r="AE1243" s="133"/>
      <c r="AF1243" s="115"/>
      <c r="AG1243" s="133"/>
      <c r="AH1243" s="133"/>
      <c r="AI1243" s="132">
        <f t="shared" si="401"/>
        <v>371187</v>
      </c>
      <c r="AJ1243" s="132">
        <f t="shared" si="402"/>
        <v>371187</v>
      </c>
      <c r="AK1243" s="133">
        <f t="shared" si="403"/>
        <v>0</v>
      </c>
      <c r="AL1243" s="198"/>
      <c r="AM1243" s="133" t="s">
        <v>886</v>
      </c>
      <c r="AN1243" s="246">
        <v>44871</v>
      </c>
      <c r="AO1243" s="100"/>
      <c r="AP1243" s="96"/>
      <c r="AQ1243" s="96"/>
      <c r="AR1243" s="96"/>
      <c r="AS1243" s="96"/>
      <c r="AT1243" s="96"/>
      <c r="AU1243" s="96"/>
      <c r="AV1243" s="96"/>
      <c r="AW1243" s="96"/>
      <c r="AX1243" s="96"/>
      <c r="AY1243" s="96"/>
      <c r="AZ1243" s="96"/>
      <c r="BA1243" s="96"/>
      <c r="BB1243" s="96"/>
      <c r="BC1243" s="96"/>
      <c r="BD1243" s="96"/>
      <c r="BE1243" s="96"/>
    </row>
    <row r="1244" s="97" customFormat="1" customHeight="1" spans="1:57">
      <c r="A1244" s="115" t="s">
        <v>9502</v>
      </c>
      <c r="B1244" s="111" t="s">
        <v>9503</v>
      </c>
      <c r="C1244" s="554" t="s">
        <v>9504</v>
      </c>
      <c r="D1244" s="113" t="s">
        <v>9505</v>
      </c>
      <c r="E1244" s="111">
        <v>13949467666</v>
      </c>
      <c r="F1244" s="267">
        <v>1</v>
      </c>
      <c r="G1244" s="268">
        <v>1128</v>
      </c>
      <c r="H1244" s="274">
        <v>48.74</v>
      </c>
      <c r="I1244" s="274" t="s">
        <v>2665</v>
      </c>
      <c r="J1244" s="113" t="s">
        <v>9506</v>
      </c>
      <c r="K1244" s="116">
        <v>53.34</v>
      </c>
      <c r="L1244" s="266" t="s">
        <v>7094</v>
      </c>
      <c r="M1244" s="266" t="s">
        <v>7094</v>
      </c>
      <c r="N1244" s="113" t="s">
        <v>56</v>
      </c>
      <c r="O1244" s="113"/>
      <c r="P1244" s="113"/>
      <c r="Q1244" s="113">
        <v>52000</v>
      </c>
      <c r="R1244" s="113">
        <v>2773680</v>
      </c>
      <c r="S1244" s="121">
        <v>2773680</v>
      </c>
      <c r="T1244" s="292">
        <f t="shared" si="404"/>
        <v>0</v>
      </c>
      <c r="U1244" s="113"/>
      <c r="V1244" s="113"/>
      <c r="W1244" s="113"/>
      <c r="X1244" s="113"/>
      <c r="Y1244" s="113"/>
      <c r="Z1244" s="113"/>
      <c r="AA1244" s="275"/>
      <c r="AB1244" s="113"/>
      <c r="AC1244" s="113"/>
      <c r="AD1244" s="122"/>
      <c r="AE1244" s="133"/>
      <c r="AF1244" s="115"/>
      <c r="AG1244" s="133"/>
      <c r="AH1244" s="133"/>
      <c r="AI1244" s="132">
        <f t="shared" si="401"/>
        <v>2773680</v>
      </c>
      <c r="AJ1244" s="132">
        <f t="shared" si="402"/>
        <v>2773680</v>
      </c>
      <c r="AK1244" s="133">
        <f t="shared" si="403"/>
        <v>0</v>
      </c>
      <c r="AL1244" s="198"/>
      <c r="AM1244" s="133" t="s">
        <v>886</v>
      </c>
      <c r="AN1244" s="246">
        <v>44888</v>
      </c>
      <c r="AO1244" s="100"/>
      <c r="AP1244" s="96"/>
      <c r="AQ1244" s="96"/>
      <c r="AR1244" s="96"/>
      <c r="AS1244" s="96"/>
      <c r="AT1244" s="96"/>
      <c r="AU1244" s="96"/>
      <c r="AV1244" s="96"/>
      <c r="AW1244" s="96"/>
      <c r="AX1244" s="96"/>
      <c r="AY1244" s="96"/>
      <c r="AZ1244" s="96"/>
      <c r="BA1244" s="96"/>
      <c r="BB1244" s="96"/>
      <c r="BC1244" s="96"/>
      <c r="BD1244" s="96"/>
      <c r="BE1244" s="96"/>
    </row>
    <row r="1245" s="97" customFormat="1" customHeight="1" spans="1:57">
      <c r="A1245" s="115" t="s">
        <v>9507</v>
      </c>
      <c r="B1245" s="139" t="s">
        <v>9508</v>
      </c>
      <c r="C1245" s="139" t="s">
        <v>9509</v>
      </c>
      <c r="D1245" s="374" t="s">
        <v>9510</v>
      </c>
      <c r="E1245" s="140">
        <v>18117165338</v>
      </c>
      <c r="F1245" s="375">
        <v>3</v>
      </c>
      <c r="G1245" s="376">
        <v>3518</v>
      </c>
      <c r="H1245" s="141">
        <v>22.05</v>
      </c>
      <c r="I1245" s="141" t="s">
        <v>2657</v>
      </c>
      <c r="J1245" s="140" t="s">
        <v>9511</v>
      </c>
      <c r="K1245" s="140">
        <v>20.58</v>
      </c>
      <c r="L1245" s="378" t="s">
        <v>3471</v>
      </c>
      <c r="M1245" s="378" t="s">
        <v>5213</v>
      </c>
      <c r="N1245" s="140" t="s">
        <v>66</v>
      </c>
      <c r="O1245" s="140"/>
      <c r="P1245" s="140"/>
      <c r="Q1245" s="140">
        <v>32204.37</v>
      </c>
      <c r="R1245" s="140">
        <v>662766</v>
      </c>
      <c r="S1245" s="374">
        <v>332766</v>
      </c>
      <c r="T1245" s="388">
        <f t="shared" si="404"/>
        <v>330000</v>
      </c>
      <c r="U1245" s="140"/>
      <c r="V1245" s="140"/>
      <c r="W1245" s="140"/>
      <c r="X1245" s="140"/>
      <c r="Y1245" s="140"/>
      <c r="Z1245" s="140"/>
      <c r="AA1245" s="140"/>
      <c r="AB1245" s="140"/>
      <c r="AC1245" s="113"/>
      <c r="AD1245" s="122"/>
      <c r="AE1245" s="133"/>
      <c r="AF1245" s="115"/>
      <c r="AG1245" s="133"/>
      <c r="AH1245" s="133"/>
      <c r="AI1245" s="132">
        <f t="shared" si="401"/>
        <v>332766</v>
      </c>
      <c r="AJ1245" s="132">
        <f t="shared" si="402"/>
        <v>332766</v>
      </c>
      <c r="AK1245" s="133">
        <f t="shared" si="403"/>
        <v>0</v>
      </c>
      <c r="AL1245" s="198"/>
      <c r="AM1245" s="133" t="s">
        <v>900</v>
      </c>
      <c r="AN1245" s="246">
        <v>44887</v>
      </c>
      <c r="AO1245" s="100"/>
      <c r="AP1245" s="96"/>
      <c r="AQ1245" s="96"/>
      <c r="AR1245" s="96"/>
      <c r="AS1245" s="96"/>
      <c r="AT1245" s="96"/>
      <c r="AU1245" s="96"/>
      <c r="AV1245" s="96"/>
      <c r="AW1245" s="96"/>
      <c r="AX1245" s="96"/>
      <c r="AY1245" s="96"/>
      <c r="AZ1245" s="96"/>
      <c r="BA1245" s="96"/>
      <c r="BB1245" s="96"/>
      <c r="BC1245" s="96"/>
      <c r="BD1245" s="96"/>
      <c r="BE1245" s="96"/>
    </row>
    <row r="1246" s="97" customFormat="1" customHeight="1" spans="1:57">
      <c r="A1246" s="115" t="s">
        <v>9512</v>
      </c>
      <c r="B1246" s="139" t="s">
        <v>9513</v>
      </c>
      <c r="C1246" s="139" t="s">
        <v>9514</v>
      </c>
      <c r="D1246" s="374" t="s">
        <v>9515</v>
      </c>
      <c r="E1246" s="140">
        <v>19910508981</v>
      </c>
      <c r="F1246" s="375">
        <v>3</v>
      </c>
      <c r="G1246" s="376">
        <v>3494</v>
      </c>
      <c r="H1246" s="141">
        <v>19.96</v>
      </c>
      <c r="I1246" s="141" t="s">
        <v>2657</v>
      </c>
      <c r="J1246" s="140" t="s">
        <v>9516</v>
      </c>
      <c r="K1246" s="140">
        <v>19.26</v>
      </c>
      <c r="L1246" s="378" t="s">
        <v>4728</v>
      </c>
      <c r="M1246" s="378" t="s">
        <v>5928</v>
      </c>
      <c r="N1246" s="140" t="s">
        <v>66</v>
      </c>
      <c r="O1246" s="140"/>
      <c r="P1246" s="140"/>
      <c r="Q1246" s="140">
        <v>31421.65</v>
      </c>
      <c r="R1246" s="140">
        <v>605181</v>
      </c>
      <c r="S1246" s="374">
        <v>305181</v>
      </c>
      <c r="T1246" s="388">
        <f t="shared" si="404"/>
        <v>300000</v>
      </c>
      <c r="U1246" s="140"/>
      <c r="V1246" s="140"/>
      <c r="W1246" s="140"/>
      <c r="X1246" s="140"/>
      <c r="Y1246" s="140"/>
      <c r="Z1246" s="140"/>
      <c r="AA1246" s="140"/>
      <c r="AB1246" s="140"/>
      <c r="AC1246" s="113"/>
      <c r="AD1246" s="122"/>
      <c r="AE1246" s="133"/>
      <c r="AF1246" s="115"/>
      <c r="AG1246" s="133"/>
      <c r="AH1246" s="133"/>
      <c r="AI1246" s="132">
        <f t="shared" si="401"/>
        <v>305181</v>
      </c>
      <c r="AJ1246" s="132">
        <f t="shared" si="402"/>
        <v>305181</v>
      </c>
      <c r="AK1246" s="133">
        <f t="shared" si="403"/>
        <v>0</v>
      </c>
      <c r="AL1246" s="198" t="s">
        <v>9517</v>
      </c>
      <c r="AM1246" s="133" t="s">
        <v>900</v>
      </c>
      <c r="AN1246" s="246">
        <v>44887</v>
      </c>
      <c r="AO1246" s="100"/>
      <c r="AP1246" s="96"/>
      <c r="AQ1246" s="96"/>
      <c r="AR1246" s="96"/>
      <c r="AS1246" s="96"/>
      <c r="AT1246" s="96"/>
      <c r="AU1246" s="96"/>
      <c r="AV1246" s="96"/>
      <c r="AW1246" s="96"/>
      <c r="AX1246" s="96"/>
      <c r="AY1246" s="96"/>
      <c r="AZ1246" s="96"/>
      <c r="BA1246" s="96"/>
      <c r="BB1246" s="96"/>
      <c r="BC1246" s="96"/>
      <c r="BD1246" s="96"/>
      <c r="BE1246" s="96"/>
    </row>
    <row r="1247" s="97" customFormat="1" customHeight="1" spans="1:57">
      <c r="A1247" s="115" t="s">
        <v>9518</v>
      </c>
      <c r="B1247" s="111" t="s">
        <v>9519</v>
      </c>
      <c r="C1247" s="111" t="s">
        <v>9520</v>
      </c>
      <c r="D1247" s="113" t="s">
        <v>9521</v>
      </c>
      <c r="E1247" s="111">
        <v>13003272975</v>
      </c>
      <c r="F1247" s="267">
        <v>3</v>
      </c>
      <c r="G1247" s="268">
        <v>3684</v>
      </c>
      <c r="H1247" s="274">
        <v>17</v>
      </c>
      <c r="I1247" s="274" t="s">
        <v>2657</v>
      </c>
      <c r="J1247" s="113" t="s">
        <v>9522</v>
      </c>
      <c r="K1247" s="116">
        <v>16.16</v>
      </c>
      <c r="L1247" s="266" t="s">
        <v>2762</v>
      </c>
      <c r="M1247" s="266" t="s">
        <v>2854</v>
      </c>
      <c r="N1247" s="113" t="s">
        <v>66</v>
      </c>
      <c r="O1247" s="113"/>
      <c r="P1247" s="113"/>
      <c r="Q1247" s="113">
        <v>31992.57</v>
      </c>
      <c r="R1247" s="113">
        <v>517000</v>
      </c>
      <c r="S1247" s="121">
        <v>267000</v>
      </c>
      <c r="T1247" s="292">
        <f t="shared" si="404"/>
        <v>250000</v>
      </c>
      <c r="U1247" s="113"/>
      <c r="V1247" s="113"/>
      <c r="W1247" s="113"/>
      <c r="X1247" s="113"/>
      <c r="Y1247" s="113"/>
      <c r="Z1247" s="113"/>
      <c r="AA1247" s="275"/>
      <c r="AB1247" s="113"/>
      <c r="AC1247" s="113"/>
      <c r="AD1247" s="122"/>
      <c r="AE1247" s="133"/>
      <c r="AF1247" s="115"/>
      <c r="AG1247" s="133"/>
      <c r="AH1247" s="133"/>
      <c r="AI1247" s="132">
        <f t="shared" si="401"/>
        <v>267000</v>
      </c>
      <c r="AJ1247" s="341"/>
      <c r="AK1247" s="133">
        <f t="shared" si="403"/>
        <v>267000</v>
      </c>
      <c r="AL1247" s="371" t="s">
        <v>9523</v>
      </c>
      <c r="AM1247" s="133" t="s">
        <v>886</v>
      </c>
      <c r="AN1247" s="246">
        <v>44871</v>
      </c>
      <c r="AO1247" s="100"/>
      <c r="AP1247" s="96"/>
      <c r="AQ1247" s="96"/>
      <c r="AR1247" s="96"/>
      <c r="AS1247" s="96"/>
      <c r="AT1247" s="96"/>
      <c r="AU1247" s="96"/>
      <c r="AV1247" s="96"/>
      <c r="AW1247" s="96"/>
      <c r="AX1247" s="96"/>
      <c r="AY1247" s="96"/>
      <c r="AZ1247" s="96"/>
      <c r="BA1247" s="96"/>
      <c r="BB1247" s="96"/>
      <c r="BC1247" s="96"/>
      <c r="BD1247" s="96"/>
      <c r="BE1247" s="96"/>
    </row>
    <row r="1248" s="97" customFormat="1" customHeight="1" spans="1:57">
      <c r="A1248" s="115" t="s">
        <v>9524</v>
      </c>
      <c r="B1248" s="139" t="s">
        <v>9525</v>
      </c>
      <c r="C1248" s="139" t="s">
        <v>9526</v>
      </c>
      <c r="D1248" s="374" t="s">
        <v>9527</v>
      </c>
      <c r="E1248" s="140" t="s">
        <v>9528</v>
      </c>
      <c r="F1248" s="375">
        <v>3</v>
      </c>
      <c r="G1248" s="376">
        <v>3148</v>
      </c>
      <c r="H1248" s="141">
        <v>34.36</v>
      </c>
      <c r="I1248" s="141" t="s">
        <v>2657</v>
      </c>
      <c r="J1248" s="140" t="s">
        <v>9529</v>
      </c>
      <c r="K1248" s="144">
        <v>32.53</v>
      </c>
      <c r="L1248" s="378" t="s">
        <v>7467</v>
      </c>
      <c r="M1248" s="378" t="s">
        <v>7467</v>
      </c>
      <c r="N1248" s="140" t="s">
        <v>56</v>
      </c>
      <c r="O1248" s="140"/>
      <c r="P1248" s="140"/>
      <c r="Q1248" s="140">
        <v>29876.15</v>
      </c>
      <c r="R1248" s="140">
        <v>1026545</v>
      </c>
      <c r="S1248" s="374">
        <v>1026545</v>
      </c>
      <c r="T1248" s="388">
        <f t="shared" si="404"/>
        <v>0</v>
      </c>
      <c r="U1248" s="375"/>
      <c r="V1248" s="375">
        <v>2233</v>
      </c>
      <c r="W1248" s="375">
        <v>560</v>
      </c>
      <c r="X1248" s="375"/>
      <c r="Y1248" s="375" t="s">
        <v>2669</v>
      </c>
      <c r="Z1248" s="375" t="s">
        <v>48</v>
      </c>
      <c r="AA1248" s="391">
        <v>44186</v>
      </c>
      <c r="AB1248" s="375"/>
      <c r="AC1248" s="113"/>
      <c r="AD1248" s="122"/>
      <c r="AE1248" s="133"/>
      <c r="AF1248" s="115"/>
      <c r="AG1248" s="133"/>
      <c r="AH1248" s="133"/>
      <c r="AI1248" s="132">
        <f t="shared" si="401"/>
        <v>1029338</v>
      </c>
      <c r="AJ1248" s="132">
        <f t="shared" si="402"/>
        <v>1029338</v>
      </c>
      <c r="AK1248" s="133">
        <f t="shared" si="403"/>
        <v>0</v>
      </c>
      <c r="AL1248" s="198"/>
      <c r="AM1248" s="133" t="s">
        <v>900</v>
      </c>
      <c r="AN1248" s="246">
        <v>44887</v>
      </c>
      <c r="AO1248" s="100"/>
      <c r="AP1248" s="96"/>
      <c r="AQ1248" s="96"/>
      <c r="AR1248" s="96"/>
      <c r="AS1248" s="96"/>
      <c r="AT1248" s="96"/>
      <c r="AU1248" s="96"/>
      <c r="AV1248" s="96"/>
      <c r="AW1248" s="96"/>
      <c r="AX1248" s="96"/>
      <c r="AY1248" s="96"/>
      <c r="AZ1248" s="96"/>
      <c r="BA1248" s="96"/>
      <c r="BB1248" s="96"/>
      <c r="BC1248" s="96"/>
      <c r="BD1248" s="96"/>
      <c r="BE1248" s="96"/>
    </row>
    <row r="1249" s="97" customFormat="1" customHeight="1" spans="1:57">
      <c r="A1249" s="115" t="s">
        <v>9530</v>
      </c>
      <c r="B1249" s="139" t="s">
        <v>9531</v>
      </c>
      <c r="C1249" s="560" t="s">
        <v>9532</v>
      </c>
      <c r="D1249" s="140" t="s">
        <v>9533</v>
      </c>
      <c r="E1249" s="140" t="s">
        <v>9534</v>
      </c>
      <c r="F1249" s="375">
        <v>4</v>
      </c>
      <c r="G1249" s="376">
        <v>4514</v>
      </c>
      <c r="H1249" s="141">
        <v>11.57</v>
      </c>
      <c r="I1249" s="141" t="s">
        <v>2657</v>
      </c>
      <c r="J1249" s="140" t="s">
        <v>9535</v>
      </c>
      <c r="K1249" s="140">
        <v>13.79</v>
      </c>
      <c r="L1249" s="378" t="s">
        <v>9536</v>
      </c>
      <c r="M1249" s="378" t="s">
        <v>4691</v>
      </c>
      <c r="N1249" s="140" t="s">
        <v>66</v>
      </c>
      <c r="O1249" s="140"/>
      <c r="P1249" s="140"/>
      <c r="Q1249" s="140">
        <v>27346.19</v>
      </c>
      <c r="R1249" s="140">
        <v>316395</v>
      </c>
      <c r="S1249" s="374">
        <v>206395</v>
      </c>
      <c r="T1249" s="374"/>
      <c r="U1249" s="140">
        <v>110000</v>
      </c>
      <c r="V1249" s="140">
        <v>752</v>
      </c>
      <c r="W1249" s="140">
        <v>560</v>
      </c>
      <c r="X1249" s="140"/>
      <c r="Y1249" s="140" t="s">
        <v>2669</v>
      </c>
      <c r="Z1249" s="140" t="s">
        <v>48</v>
      </c>
      <c r="AA1249" s="391">
        <v>44023</v>
      </c>
      <c r="AB1249" s="140" t="s">
        <v>9537</v>
      </c>
      <c r="AC1249" s="113">
        <v>1231</v>
      </c>
      <c r="AD1249" s="122"/>
      <c r="AE1249" s="133"/>
      <c r="AF1249" s="115"/>
      <c r="AG1249" s="133"/>
      <c r="AH1249" s="133"/>
      <c r="AI1249" s="132">
        <f t="shared" si="401"/>
        <v>318938</v>
      </c>
      <c r="AJ1249" s="132">
        <f t="shared" si="402"/>
        <v>317707</v>
      </c>
      <c r="AK1249" s="133">
        <f t="shared" si="403"/>
        <v>1231</v>
      </c>
      <c r="AL1249" s="198"/>
      <c r="AM1249" s="133" t="s">
        <v>900</v>
      </c>
      <c r="AN1249" s="246">
        <v>44887</v>
      </c>
      <c r="AO1249" s="100"/>
      <c r="AP1249" s="96"/>
      <c r="AQ1249" s="96"/>
      <c r="AR1249" s="96"/>
      <c r="AS1249" s="96"/>
      <c r="AT1249" s="96"/>
      <c r="AU1249" s="96"/>
      <c r="AV1249" s="96"/>
      <c r="AW1249" s="96"/>
      <c r="AX1249" s="96"/>
      <c r="AY1249" s="96"/>
      <c r="AZ1249" s="96"/>
      <c r="BA1249" s="96"/>
      <c r="BB1249" s="96"/>
      <c r="BC1249" s="96"/>
      <c r="BD1249" s="96"/>
      <c r="BE1249" s="96"/>
    </row>
    <row r="1250" s="97" customFormat="1" customHeight="1" spans="1:57">
      <c r="A1250" s="115" t="s">
        <v>9538</v>
      </c>
      <c r="B1250" s="111" t="s">
        <v>9539</v>
      </c>
      <c r="C1250" s="111" t="s">
        <v>9540</v>
      </c>
      <c r="D1250" s="113" t="s">
        <v>9541</v>
      </c>
      <c r="E1250" s="111">
        <v>13733890626</v>
      </c>
      <c r="F1250" s="267">
        <v>3</v>
      </c>
      <c r="G1250" s="268">
        <v>3817</v>
      </c>
      <c r="H1250" s="274">
        <v>16.43</v>
      </c>
      <c r="I1250" s="274" t="s">
        <v>2657</v>
      </c>
      <c r="J1250" s="113" t="s">
        <v>9542</v>
      </c>
      <c r="K1250" s="116">
        <v>14.57</v>
      </c>
      <c r="L1250" s="266" t="s">
        <v>6031</v>
      </c>
      <c r="M1250" s="266" t="s">
        <v>3551</v>
      </c>
      <c r="N1250" s="113" t="s">
        <v>66</v>
      </c>
      <c r="O1250" s="113"/>
      <c r="P1250" s="113"/>
      <c r="Q1250" s="113">
        <v>32807.14</v>
      </c>
      <c r="R1250" s="113">
        <v>478000</v>
      </c>
      <c r="S1250" s="121">
        <v>248000</v>
      </c>
      <c r="T1250" s="292">
        <f t="shared" ref="T1250:T1257" si="405">R1250-S1250</f>
        <v>230000</v>
      </c>
      <c r="U1250" s="113"/>
      <c r="V1250" s="113"/>
      <c r="W1250" s="113"/>
      <c r="X1250" s="113"/>
      <c r="Y1250" s="113"/>
      <c r="Z1250" s="113"/>
      <c r="AA1250" s="275"/>
      <c r="AB1250" s="113" t="s">
        <v>9543</v>
      </c>
      <c r="AC1250" s="113"/>
      <c r="AD1250" s="122"/>
      <c r="AE1250" s="133"/>
      <c r="AF1250" s="115"/>
      <c r="AG1250" s="133"/>
      <c r="AH1250" s="133"/>
      <c r="AI1250" s="132">
        <f t="shared" si="401"/>
        <v>248000</v>
      </c>
      <c r="AJ1250" s="132">
        <f t="shared" si="402"/>
        <v>248000</v>
      </c>
      <c r="AK1250" s="133">
        <f t="shared" si="403"/>
        <v>0</v>
      </c>
      <c r="AL1250" s="198"/>
      <c r="AM1250" s="133" t="s">
        <v>886</v>
      </c>
      <c r="AN1250" s="246">
        <v>44885</v>
      </c>
      <c r="AO1250" s="100"/>
      <c r="AP1250" s="96"/>
      <c r="AQ1250" s="96"/>
      <c r="AR1250" s="96"/>
      <c r="AS1250" s="96"/>
      <c r="AT1250" s="96"/>
      <c r="AU1250" s="96"/>
      <c r="AV1250" s="96"/>
      <c r="AW1250" s="96"/>
      <c r="AX1250" s="96"/>
      <c r="AY1250" s="96"/>
      <c r="AZ1250" s="96"/>
      <c r="BA1250" s="96"/>
      <c r="BB1250" s="96"/>
      <c r="BC1250" s="96"/>
      <c r="BD1250" s="96"/>
      <c r="BE1250" s="96"/>
    </row>
    <row r="1251" s="97" customFormat="1" customHeight="1" spans="1:57">
      <c r="A1251" s="115" t="s">
        <v>9544</v>
      </c>
      <c r="B1251" s="111" t="s">
        <v>9545</v>
      </c>
      <c r="C1251" s="111" t="s">
        <v>9546</v>
      </c>
      <c r="D1251" s="113" t="s">
        <v>9547</v>
      </c>
      <c r="E1251" s="111" t="s">
        <v>9548</v>
      </c>
      <c r="F1251" s="267">
        <v>1</v>
      </c>
      <c r="G1251" s="268">
        <v>1758</v>
      </c>
      <c r="H1251" s="274">
        <v>17.68</v>
      </c>
      <c r="I1251" s="274" t="s">
        <v>2657</v>
      </c>
      <c r="J1251" s="113" t="s">
        <v>9549</v>
      </c>
      <c r="K1251" s="116">
        <v>18.47</v>
      </c>
      <c r="L1251" s="266" t="s">
        <v>4410</v>
      </c>
      <c r="M1251" s="266" t="s">
        <v>3772</v>
      </c>
      <c r="N1251" s="113" t="s">
        <v>56</v>
      </c>
      <c r="O1251" s="113"/>
      <c r="P1251" s="113"/>
      <c r="Q1251" s="113">
        <v>45717.82</v>
      </c>
      <c r="R1251" s="113">
        <v>808291</v>
      </c>
      <c r="S1251" s="121">
        <v>808291</v>
      </c>
      <c r="T1251" s="292">
        <f t="shared" si="405"/>
        <v>0</v>
      </c>
      <c r="U1251" s="113"/>
      <c r="V1251" s="113">
        <v>1149</v>
      </c>
      <c r="W1251" s="113">
        <v>560</v>
      </c>
      <c r="X1251" s="113"/>
      <c r="Y1251" s="113" t="s">
        <v>2669</v>
      </c>
      <c r="Z1251" s="113" t="s">
        <v>48</v>
      </c>
      <c r="AA1251" s="275">
        <v>44051</v>
      </c>
      <c r="AB1251" s="113"/>
      <c r="AC1251" s="113"/>
      <c r="AD1251" s="122"/>
      <c r="AE1251" s="133"/>
      <c r="AF1251" s="115"/>
      <c r="AG1251" s="133"/>
      <c r="AH1251" s="133"/>
      <c r="AI1251" s="132">
        <f t="shared" si="401"/>
        <v>810000</v>
      </c>
      <c r="AJ1251" s="132">
        <f t="shared" si="402"/>
        <v>810000</v>
      </c>
      <c r="AK1251" s="133">
        <f t="shared" si="403"/>
        <v>0</v>
      </c>
      <c r="AL1251" s="198"/>
      <c r="AM1251" s="133" t="s">
        <v>886</v>
      </c>
      <c r="AN1251" s="246">
        <v>44885</v>
      </c>
      <c r="AO1251" s="100"/>
      <c r="AP1251" s="96"/>
      <c r="AQ1251" s="96"/>
      <c r="AR1251" s="96"/>
      <c r="AS1251" s="96"/>
      <c r="AT1251" s="96"/>
      <c r="AU1251" s="96"/>
      <c r="AV1251" s="96"/>
      <c r="AW1251" s="96"/>
      <c r="AX1251" s="96"/>
      <c r="AY1251" s="96"/>
      <c r="AZ1251" s="96"/>
      <c r="BA1251" s="96"/>
      <c r="BB1251" s="96"/>
      <c r="BC1251" s="96"/>
      <c r="BD1251" s="96"/>
      <c r="BE1251" s="96"/>
    </row>
    <row r="1252" s="97" customFormat="1" customHeight="1" spans="1:57">
      <c r="A1252" s="337" t="s">
        <v>9550</v>
      </c>
      <c r="B1252" s="111" t="s">
        <v>9551</v>
      </c>
      <c r="C1252" s="111" t="s">
        <v>9552</v>
      </c>
      <c r="D1252" s="113" t="s">
        <v>9553</v>
      </c>
      <c r="E1252" s="111" t="s">
        <v>9554</v>
      </c>
      <c r="F1252" s="267">
        <v>3</v>
      </c>
      <c r="G1252" s="268">
        <v>3351</v>
      </c>
      <c r="H1252" s="274">
        <v>19.42</v>
      </c>
      <c r="I1252" s="274" t="s">
        <v>2657</v>
      </c>
      <c r="J1252" s="113" t="s">
        <v>9555</v>
      </c>
      <c r="K1252" s="116">
        <v>17.91</v>
      </c>
      <c r="L1252" s="266" t="s">
        <v>3799</v>
      </c>
      <c r="M1252" s="266" t="s">
        <v>2835</v>
      </c>
      <c r="N1252" s="113" t="s">
        <v>66</v>
      </c>
      <c r="O1252" s="113"/>
      <c r="P1252" s="113"/>
      <c r="Q1252" s="113">
        <v>31935.79</v>
      </c>
      <c r="R1252" s="113">
        <v>620193</v>
      </c>
      <c r="S1252" s="121">
        <v>310193</v>
      </c>
      <c r="T1252" s="292"/>
      <c r="U1252" s="113">
        <v>310000</v>
      </c>
      <c r="V1252" s="113">
        <v>1262</v>
      </c>
      <c r="W1252" s="113">
        <v>560</v>
      </c>
      <c r="X1252" s="113"/>
      <c r="Y1252" s="113" t="s">
        <v>2669</v>
      </c>
      <c r="Z1252" s="113" t="s">
        <v>48</v>
      </c>
      <c r="AA1252" s="275">
        <v>44022</v>
      </c>
      <c r="AB1252" s="113"/>
      <c r="AC1252" s="113">
        <v>1251</v>
      </c>
      <c r="AD1252" s="122"/>
      <c r="AE1252" s="133"/>
      <c r="AF1252" s="115"/>
      <c r="AG1252" s="133"/>
      <c r="AH1252" s="133"/>
      <c r="AI1252" s="132">
        <f t="shared" si="401"/>
        <v>623266</v>
      </c>
      <c r="AJ1252" s="341"/>
      <c r="AK1252" s="133">
        <f t="shared" si="403"/>
        <v>623266</v>
      </c>
      <c r="AL1252" s="371" t="s">
        <v>8327</v>
      </c>
      <c r="AM1252" s="133" t="s">
        <v>886</v>
      </c>
      <c r="AN1252" s="246">
        <v>44885</v>
      </c>
      <c r="AO1252" s="100"/>
      <c r="AP1252" s="96"/>
      <c r="AQ1252" s="96"/>
      <c r="AR1252" s="96"/>
      <c r="AS1252" s="96"/>
      <c r="AT1252" s="96"/>
      <c r="AU1252" s="96"/>
      <c r="AV1252" s="96"/>
      <c r="AW1252" s="96"/>
      <c r="AX1252" s="96"/>
      <c r="AY1252" s="96"/>
      <c r="AZ1252" s="96"/>
      <c r="BA1252" s="96"/>
      <c r="BB1252" s="96"/>
      <c r="BC1252" s="96"/>
      <c r="BD1252" s="96"/>
      <c r="BE1252" s="96"/>
    </row>
    <row r="1253" s="97" customFormat="1" customHeight="1" spans="1:57">
      <c r="A1253" s="115" t="s">
        <v>9556</v>
      </c>
      <c r="B1253" s="111" t="s">
        <v>9557</v>
      </c>
      <c r="C1253" s="554" t="s">
        <v>9558</v>
      </c>
      <c r="D1253" s="113" t="s">
        <v>7015</v>
      </c>
      <c r="E1253" s="111">
        <v>15036135033</v>
      </c>
      <c r="F1253" s="267">
        <v>1</v>
      </c>
      <c r="G1253" s="268">
        <v>1627</v>
      </c>
      <c r="H1253" s="274">
        <v>17.36</v>
      </c>
      <c r="I1253" s="274" t="s">
        <v>2657</v>
      </c>
      <c r="J1253" s="113" t="s">
        <v>9559</v>
      </c>
      <c r="K1253" s="116">
        <v>19.06</v>
      </c>
      <c r="L1253" s="266" t="s">
        <v>7222</v>
      </c>
      <c r="M1253" s="266" t="s">
        <v>7222</v>
      </c>
      <c r="N1253" s="113" t="s">
        <v>66</v>
      </c>
      <c r="O1253" s="113"/>
      <c r="P1253" s="113"/>
      <c r="Q1253" s="113">
        <v>47444.18</v>
      </c>
      <c r="R1253" s="113">
        <v>904286</v>
      </c>
      <c r="S1253" s="121">
        <v>454286</v>
      </c>
      <c r="T1253" s="292">
        <f t="shared" si="405"/>
        <v>450000</v>
      </c>
      <c r="U1253" s="113"/>
      <c r="V1253" s="113"/>
      <c r="W1253" s="113"/>
      <c r="X1253" s="113"/>
      <c r="Y1253" s="113"/>
      <c r="Z1253" s="113"/>
      <c r="AA1253" s="275"/>
      <c r="AB1253" s="113"/>
      <c r="AC1253" s="113"/>
      <c r="AD1253" s="122"/>
      <c r="AE1253" s="133"/>
      <c r="AF1253" s="115"/>
      <c r="AG1253" s="133"/>
      <c r="AH1253" s="133"/>
      <c r="AI1253" s="132">
        <f t="shared" si="401"/>
        <v>454286</v>
      </c>
      <c r="AJ1253" s="132">
        <f>S1253+U1253+V1253+W1253+X1253</f>
        <v>454286</v>
      </c>
      <c r="AK1253" s="133">
        <f t="shared" si="403"/>
        <v>0</v>
      </c>
      <c r="AL1253" s="198"/>
      <c r="AM1253" s="133" t="s">
        <v>886</v>
      </c>
      <c r="AN1253" s="246">
        <v>44888</v>
      </c>
      <c r="AO1253" s="100"/>
      <c r="AP1253" s="96"/>
      <c r="AQ1253" s="96"/>
      <c r="AR1253" s="96"/>
      <c r="AS1253" s="96"/>
      <c r="AT1253" s="96"/>
      <c r="AU1253" s="96"/>
      <c r="AV1253" s="96"/>
      <c r="AW1253" s="96"/>
      <c r="AX1253" s="96"/>
      <c r="AY1253" s="96"/>
      <c r="AZ1253" s="96"/>
      <c r="BA1253" s="96"/>
      <c r="BB1253" s="96"/>
      <c r="BC1253" s="96"/>
      <c r="BD1253" s="96"/>
      <c r="BE1253" s="96"/>
    </row>
    <row r="1254" s="97" customFormat="1" customHeight="1" spans="1:57">
      <c r="A1254" s="115" t="s">
        <v>9560</v>
      </c>
      <c r="B1254" s="111" t="s">
        <v>9561</v>
      </c>
      <c r="C1254" s="554" t="s">
        <v>9562</v>
      </c>
      <c r="D1254" s="113" t="s">
        <v>9563</v>
      </c>
      <c r="E1254" s="111">
        <v>13460292198</v>
      </c>
      <c r="F1254" s="267">
        <v>4</v>
      </c>
      <c r="G1254" s="268">
        <v>4479</v>
      </c>
      <c r="H1254" s="274">
        <v>23.41</v>
      </c>
      <c r="I1254" s="274" t="s">
        <v>2657</v>
      </c>
      <c r="J1254" s="113" t="s">
        <v>9564</v>
      </c>
      <c r="K1254" s="116">
        <v>20.09</v>
      </c>
      <c r="L1254" s="266" t="s">
        <v>4715</v>
      </c>
      <c r="M1254" s="266" t="s">
        <v>9565</v>
      </c>
      <c r="N1254" s="113" t="s">
        <v>56</v>
      </c>
      <c r="O1254" s="113"/>
      <c r="P1254" s="113"/>
      <c r="Q1254" s="113">
        <v>26554.45</v>
      </c>
      <c r="R1254" s="113">
        <v>621640</v>
      </c>
      <c r="S1254" s="121">
        <v>621640</v>
      </c>
      <c r="T1254" s="292">
        <f t="shared" si="405"/>
        <v>0</v>
      </c>
      <c r="U1254" s="113"/>
      <c r="V1254" s="113">
        <v>1521</v>
      </c>
      <c r="W1254" s="113">
        <v>550</v>
      </c>
      <c r="X1254" s="113"/>
      <c r="Y1254" s="113"/>
      <c r="Z1254" s="113"/>
      <c r="AA1254" s="275"/>
      <c r="AB1254" s="113" t="s">
        <v>4357</v>
      </c>
      <c r="AC1254" s="113"/>
      <c r="AD1254" s="122"/>
      <c r="AE1254" s="133"/>
      <c r="AF1254" s="115"/>
      <c r="AG1254" s="133"/>
      <c r="AH1254" s="133"/>
      <c r="AI1254" s="132">
        <f t="shared" si="401"/>
        <v>623711</v>
      </c>
      <c r="AJ1254" s="132">
        <f>S1254+U1254+V1254+W1254+X1254</f>
        <v>623711</v>
      </c>
      <c r="AK1254" s="133">
        <f t="shared" si="403"/>
        <v>0</v>
      </c>
      <c r="AL1254" s="198"/>
      <c r="AM1254" s="133" t="s">
        <v>886</v>
      </c>
      <c r="AN1254" s="246">
        <v>44885</v>
      </c>
      <c r="AO1254" s="100"/>
      <c r="AP1254" s="96"/>
      <c r="AQ1254" s="96"/>
      <c r="AR1254" s="96"/>
      <c r="AS1254" s="96"/>
      <c r="AT1254" s="96"/>
      <c r="AU1254" s="96"/>
      <c r="AV1254" s="96"/>
      <c r="AW1254" s="96"/>
      <c r="AX1254" s="96"/>
      <c r="AY1254" s="96"/>
      <c r="AZ1254" s="96"/>
      <c r="BA1254" s="96"/>
      <c r="BB1254" s="96"/>
      <c r="BC1254" s="96"/>
      <c r="BD1254" s="96"/>
      <c r="BE1254" s="96"/>
    </row>
    <row r="1255" s="97" customFormat="1" customHeight="1" spans="1:58">
      <c r="A1255" s="115" t="s">
        <v>9566</v>
      </c>
      <c r="B1255" s="111" t="s">
        <v>9567</v>
      </c>
      <c r="C1255" s="554" t="s">
        <v>9568</v>
      </c>
      <c r="D1255" s="113" t="s">
        <v>9569</v>
      </c>
      <c r="E1255" s="111">
        <v>17638111333</v>
      </c>
      <c r="F1255" s="267">
        <v>2</v>
      </c>
      <c r="G1255" s="268">
        <v>2123</v>
      </c>
      <c r="H1255" s="274">
        <v>44.1</v>
      </c>
      <c r="I1255" s="274" t="s">
        <v>2665</v>
      </c>
      <c r="J1255" s="113" t="s">
        <v>9570</v>
      </c>
      <c r="K1255" s="116">
        <v>38.8</v>
      </c>
      <c r="L1255" s="266"/>
      <c r="M1255" s="266" t="s">
        <v>5367</v>
      </c>
      <c r="N1255" s="113" t="s">
        <v>66</v>
      </c>
      <c r="O1255" s="113"/>
      <c r="P1255" s="113"/>
      <c r="Q1255" s="113">
        <v>30912.35</v>
      </c>
      <c r="R1255" s="113">
        <v>1199399</v>
      </c>
      <c r="S1255" s="121">
        <v>609399</v>
      </c>
      <c r="T1255" s="292">
        <f t="shared" si="405"/>
        <v>590000</v>
      </c>
      <c r="U1255" s="113"/>
      <c r="V1255" s="113"/>
      <c r="W1255" s="113"/>
      <c r="X1255" s="113"/>
      <c r="Y1255" s="113"/>
      <c r="Z1255" s="113"/>
      <c r="AA1255" s="275"/>
      <c r="AB1255" s="113"/>
      <c r="AC1255" s="113"/>
      <c r="AD1255" s="122"/>
      <c r="AE1255" s="122"/>
      <c r="AF1255" s="115"/>
      <c r="AG1255" s="133"/>
      <c r="AH1255" s="133"/>
      <c r="AI1255" s="132">
        <f t="shared" si="401"/>
        <v>609399</v>
      </c>
      <c r="AJ1255" s="132">
        <f>S1255+U1255+V1255+W1255+X1255</f>
        <v>609399</v>
      </c>
      <c r="AK1255" s="133">
        <f t="shared" si="403"/>
        <v>0</v>
      </c>
      <c r="AL1255" s="198"/>
      <c r="AM1255" s="133" t="s">
        <v>886</v>
      </c>
      <c r="AN1255" s="246">
        <v>44885</v>
      </c>
      <c r="AO1255" s="259"/>
      <c r="AP1255" s="259"/>
      <c r="AQ1255" s="96"/>
      <c r="AR1255" s="96"/>
      <c r="AS1255" s="96"/>
      <c r="AT1255" s="96"/>
      <c r="AU1255" s="96"/>
      <c r="AV1255" s="96"/>
      <c r="AW1255" s="96"/>
      <c r="AX1255" s="96"/>
      <c r="AY1255" s="96"/>
      <c r="AZ1255" s="96"/>
      <c r="BA1255" s="96"/>
      <c r="BB1255" s="96"/>
      <c r="BC1255" s="96"/>
      <c r="BD1255" s="96"/>
      <c r="BE1255" s="96"/>
      <c r="BF1255" s="96"/>
    </row>
    <row r="1256" s="97" customFormat="1" customHeight="1" spans="1:58">
      <c r="A1256" s="115" t="s">
        <v>9571</v>
      </c>
      <c r="B1256" s="111" t="s">
        <v>9572</v>
      </c>
      <c r="C1256" s="554" t="s">
        <v>9573</v>
      </c>
      <c r="D1256" s="113" t="s">
        <v>9569</v>
      </c>
      <c r="E1256" s="111">
        <v>13403718000</v>
      </c>
      <c r="F1256" s="267">
        <v>2</v>
      </c>
      <c r="G1256" s="268">
        <v>2124</v>
      </c>
      <c r="H1256" s="274">
        <v>44.84</v>
      </c>
      <c r="I1256" s="274" t="s">
        <v>2665</v>
      </c>
      <c r="J1256" s="113" t="s">
        <v>9574</v>
      </c>
      <c r="K1256" s="116">
        <v>38.3</v>
      </c>
      <c r="L1256" s="266" t="s">
        <v>2799</v>
      </c>
      <c r="M1256" s="266" t="s">
        <v>5367</v>
      </c>
      <c r="N1256" s="113" t="s">
        <v>66</v>
      </c>
      <c r="O1256" s="113"/>
      <c r="P1256" s="113"/>
      <c r="Q1256" s="113">
        <v>31210.31</v>
      </c>
      <c r="R1256" s="113">
        <v>1195355</v>
      </c>
      <c r="S1256" s="121">
        <v>605355</v>
      </c>
      <c r="T1256" s="292">
        <f t="shared" si="405"/>
        <v>590000</v>
      </c>
      <c r="U1256" s="113"/>
      <c r="V1256" s="113"/>
      <c r="W1256" s="113"/>
      <c r="X1256" s="113"/>
      <c r="Y1256" s="113"/>
      <c r="Z1256" s="113"/>
      <c r="AA1256" s="275"/>
      <c r="AB1256" s="113" t="s">
        <v>9575</v>
      </c>
      <c r="AC1256" s="113"/>
      <c r="AD1256" s="122"/>
      <c r="AE1256" s="122"/>
      <c r="AF1256" s="115"/>
      <c r="AG1256" s="133"/>
      <c r="AH1256" s="133"/>
      <c r="AI1256" s="132">
        <f t="shared" si="401"/>
        <v>605355</v>
      </c>
      <c r="AJ1256" s="132">
        <f>S1256+U1256+V1256+W1256+X1256</f>
        <v>605355</v>
      </c>
      <c r="AK1256" s="133">
        <f t="shared" si="403"/>
        <v>0</v>
      </c>
      <c r="AL1256" s="198"/>
      <c r="AM1256" s="133" t="s">
        <v>886</v>
      </c>
      <c r="AN1256" s="246">
        <v>44885</v>
      </c>
      <c r="AO1256" s="259"/>
      <c r="AP1256" s="259"/>
      <c r="AQ1256" s="96"/>
      <c r="AR1256" s="96"/>
      <c r="AS1256" s="96"/>
      <c r="AT1256" s="96"/>
      <c r="AU1256" s="96"/>
      <c r="AV1256" s="96"/>
      <c r="AW1256" s="96"/>
      <c r="AX1256" s="96"/>
      <c r="AY1256" s="96"/>
      <c r="AZ1256" s="96"/>
      <c r="BA1256" s="96"/>
      <c r="BB1256" s="96"/>
      <c r="BC1256" s="96"/>
      <c r="BD1256" s="96"/>
      <c r="BE1256" s="96"/>
      <c r="BF1256" s="96"/>
    </row>
    <row r="1257" s="97" customFormat="1" customHeight="1" spans="1:57">
      <c r="A1257" s="337" t="s">
        <v>9576</v>
      </c>
      <c r="B1257" s="111" t="s">
        <v>6343</v>
      </c>
      <c r="C1257" s="111" t="s">
        <v>9577</v>
      </c>
      <c r="D1257" s="113" t="s">
        <v>9578</v>
      </c>
      <c r="E1257" s="111">
        <v>18238991836</v>
      </c>
      <c r="F1257" s="267">
        <v>3</v>
      </c>
      <c r="G1257" s="268">
        <v>3946</v>
      </c>
      <c r="H1257" s="274">
        <v>17.9</v>
      </c>
      <c r="I1257" s="274" t="s">
        <v>2657</v>
      </c>
      <c r="J1257" s="113" t="s">
        <v>9579</v>
      </c>
      <c r="K1257" s="116">
        <v>15.54</v>
      </c>
      <c r="L1257" s="266" t="s">
        <v>9580</v>
      </c>
      <c r="M1257" s="266" t="s">
        <v>9580</v>
      </c>
      <c r="N1257" s="113" t="s">
        <v>66</v>
      </c>
      <c r="O1257" s="113"/>
      <c r="P1257" s="113"/>
      <c r="Q1257" s="113">
        <v>32898.52</v>
      </c>
      <c r="R1257" s="113">
        <v>511243</v>
      </c>
      <c r="S1257" s="121">
        <v>261243</v>
      </c>
      <c r="T1257" s="292">
        <f t="shared" si="405"/>
        <v>250000</v>
      </c>
      <c r="U1257" s="113"/>
      <c r="V1257" s="113"/>
      <c r="W1257" s="113"/>
      <c r="X1257" s="113"/>
      <c r="Y1257" s="113"/>
      <c r="Z1257" s="113"/>
      <c r="AA1257" s="275"/>
      <c r="AB1257" s="113"/>
      <c r="AC1257" s="113"/>
      <c r="AD1257" s="122"/>
      <c r="AE1257" s="133"/>
      <c r="AF1257" s="115"/>
      <c r="AG1257" s="133"/>
      <c r="AH1257" s="133"/>
      <c r="AI1257" s="132">
        <f t="shared" si="401"/>
        <v>261243</v>
      </c>
      <c r="AJ1257" s="341"/>
      <c r="AK1257" s="133">
        <f t="shared" si="403"/>
        <v>261243</v>
      </c>
      <c r="AL1257" s="371" t="s">
        <v>9581</v>
      </c>
      <c r="AM1257" s="133" t="s">
        <v>886</v>
      </c>
      <c r="AN1257" s="246">
        <v>44888</v>
      </c>
      <c r="AO1257" s="100"/>
      <c r="AP1257" s="96"/>
      <c r="AQ1257" s="96"/>
      <c r="AR1257" s="96"/>
      <c r="AS1257" s="96"/>
      <c r="AT1257" s="96"/>
      <c r="AU1257" s="96"/>
      <c r="AV1257" s="96"/>
      <c r="AW1257" s="96"/>
      <c r="AX1257" s="96"/>
      <c r="AY1257" s="96"/>
      <c r="AZ1257" s="96"/>
      <c r="BA1257" s="96"/>
      <c r="BB1257" s="96"/>
      <c r="BC1257" s="96"/>
      <c r="BD1257" s="96"/>
      <c r="BE1257" s="96"/>
    </row>
    <row r="1258" s="97" customFormat="1" customHeight="1" spans="1:57">
      <c r="A1258" s="339" t="s">
        <v>9582</v>
      </c>
      <c r="B1258" s="111" t="s">
        <v>9583</v>
      </c>
      <c r="C1258" s="554" t="s">
        <v>9584</v>
      </c>
      <c r="D1258" s="113" t="s">
        <v>9585</v>
      </c>
      <c r="E1258" s="558" t="s">
        <v>9586</v>
      </c>
      <c r="F1258" s="267">
        <v>1</v>
      </c>
      <c r="G1258" s="268">
        <v>1525</v>
      </c>
      <c r="H1258" s="274">
        <v>18.48</v>
      </c>
      <c r="I1258" s="274" t="s">
        <v>2657</v>
      </c>
      <c r="J1258" s="113" t="s">
        <v>9587</v>
      </c>
      <c r="K1258" s="113">
        <v>16.93</v>
      </c>
      <c r="L1258" s="266" t="s">
        <v>3408</v>
      </c>
      <c r="M1258" s="266" t="s">
        <v>5198</v>
      </c>
      <c r="N1258" s="113" t="s">
        <v>66</v>
      </c>
      <c r="O1258" s="113"/>
      <c r="P1258" s="113"/>
      <c r="Q1258" s="113">
        <v>47962.37</v>
      </c>
      <c r="R1258" s="113">
        <v>886345</v>
      </c>
      <c r="S1258" s="121">
        <v>446345</v>
      </c>
      <c r="T1258" s="292">
        <v>440000</v>
      </c>
      <c r="U1258" s="113"/>
      <c r="V1258" s="113">
        <v>1201</v>
      </c>
      <c r="W1258" s="113">
        <v>550</v>
      </c>
      <c r="X1258" s="113"/>
      <c r="Y1258" s="113"/>
      <c r="Z1258" s="113"/>
      <c r="AA1258" s="113"/>
      <c r="AB1258" s="113"/>
      <c r="AC1258" s="321"/>
      <c r="AD1258" s="115"/>
      <c r="AE1258" s="115"/>
      <c r="AF1258" s="115"/>
      <c r="AG1258" s="115"/>
      <c r="AH1258" s="115"/>
      <c r="AI1258" s="132">
        <f t="shared" si="401"/>
        <v>448096</v>
      </c>
      <c r="AJ1258" s="132">
        <f>S1258+U1258+V1258+W1258+X1258</f>
        <v>448096</v>
      </c>
      <c r="AK1258" s="133">
        <f t="shared" si="403"/>
        <v>0</v>
      </c>
      <c r="AL1258" s="155" t="s">
        <v>9588</v>
      </c>
      <c r="AM1258" s="115" t="s">
        <v>854</v>
      </c>
      <c r="AN1258" s="246">
        <v>44882</v>
      </c>
      <c r="AO1258" s="100"/>
      <c r="AP1258" s="96"/>
      <c r="AQ1258" s="96"/>
      <c r="AR1258" s="96"/>
      <c r="AS1258" s="96"/>
      <c r="AT1258" s="96"/>
      <c r="AU1258" s="96"/>
      <c r="AV1258" s="96"/>
      <c r="AW1258" s="96"/>
      <c r="AX1258" s="96"/>
      <c r="AY1258" s="96"/>
      <c r="AZ1258" s="96"/>
      <c r="BA1258" s="96"/>
      <c r="BB1258" s="96"/>
      <c r="BC1258" s="96"/>
      <c r="BD1258" s="96"/>
      <c r="BE1258" s="96"/>
    </row>
    <row r="1259" s="97" customFormat="1" customHeight="1" spans="1:57">
      <c r="A1259" s="115" t="s">
        <v>9589</v>
      </c>
      <c r="B1259" s="111" t="s">
        <v>9590</v>
      </c>
      <c r="C1259" s="554" t="s">
        <v>9591</v>
      </c>
      <c r="D1259" s="113" t="s">
        <v>9592</v>
      </c>
      <c r="E1259" s="111">
        <v>18237177939</v>
      </c>
      <c r="F1259" s="267">
        <v>1</v>
      </c>
      <c r="G1259" s="268">
        <v>1693</v>
      </c>
      <c r="H1259" s="274">
        <v>14.73</v>
      </c>
      <c r="I1259" s="274" t="s">
        <v>2657</v>
      </c>
      <c r="J1259" s="113" t="s">
        <v>9593</v>
      </c>
      <c r="K1259" s="116">
        <v>14.1</v>
      </c>
      <c r="L1259" s="266" t="s">
        <v>4670</v>
      </c>
      <c r="M1259" s="266" t="s">
        <v>5819</v>
      </c>
      <c r="N1259" s="113" t="s">
        <v>66</v>
      </c>
      <c r="O1259" s="113"/>
      <c r="P1259" s="113"/>
      <c r="Q1259" s="113">
        <v>48773.48</v>
      </c>
      <c r="R1259" s="113">
        <v>687706</v>
      </c>
      <c r="S1259" s="121">
        <v>347706</v>
      </c>
      <c r="T1259" s="292">
        <f>R1259-S1259</f>
        <v>340000</v>
      </c>
      <c r="U1259" s="113"/>
      <c r="V1259" s="113"/>
      <c r="W1259" s="113"/>
      <c r="X1259" s="113"/>
      <c r="Y1259" s="113"/>
      <c r="Z1259" s="113"/>
      <c r="AA1259" s="275"/>
      <c r="AB1259" s="113"/>
      <c r="AC1259" s="113"/>
      <c r="AD1259" s="122"/>
      <c r="AE1259" s="133"/>
      <c r="AF1259" s="115"/>
      <c r="AG1259" s="133"/>
      <c r="AH1259" s="133"/>
      <c r="AI1259" s="132">
        <f t="shared" si="401"/>
        <v>347706</v>
      </c>
      <c r="AJ1259" s="132">
        <f>S1259+U1259+V1259+W1259+X1259</f>
        <v>347706</v>
      </c>
      <c r="AK1259" s="133">
        <f t="shared" si="403"/>
        <v>0</v>
      </c>
      <c r="AL1259" s="198"/>
      <c r="AM1259" s="133" t="s">
        <v>886</v>
      </c>
      <c r="AN1259" s="246">
        <v>44888</v>
      </c>
      <c r="AO1259" s="100"/>
      <c r="AP1259" s="96"/>
      <c r="AQ1259" s="96"/>
      <c r="AR1259" s="96"/>
      <c r="AS1259" s="96"/>
      <c r="AT1259" s="96"/>
      <c r="AU1259" s="96"/>
      <c r="AV1259" s="96"/>
      <c r="AW1259" s="96"/>
      <c r="AX1259" s="96"/>
      <c r="AY1259" s="96"/>
      <c r="AZ1259" s="96"/>
      <c r="BA1259" s="96"/>
      <c r="BB1259" s="96"/>
      <c r="BC1259" s="96"/>
      <c r="BD1259" s="96"/>
      <c r="BE1259" s="96"/>
    </row>
    <row r="1260" s="97" customFormat="1" customHeight="1" spans="1:58">
      <c r="A1260" s="115" t="s">
        <v>9594</v>
      </c>
      <c r="B1260" s="115" t="s">
        <v>9595</v>
      </c>
      <c r="C1260" s="155" t="s">
        <v>9596</v>
      </c>
      <c r="D1260" s="291" t="s">
        <v>9597</v>
      </c>
      <c r="E1260" s="156">
        <v>13676988890</v>
      </c>
      <c r="F1260" s="115">
        <v>3</v>
      </c>
      <c r="G1260" s="115">
        <v>3107</v>
      </c>
      <c r="H1260" s="156">
        <v>25.27</v>
      </c>
      <c r="I1260" s="115" t="s">
        <v>2657</v>
      </c>
      <c r="J1260" s="181" t="s">
        <v>9598</v>
      </c>
      <c r="K1260" s="156">
        <v>23.65</v>
      </c>
      <c r="L1260" s="115" t="s">
        <v>2960</v>
      </c>
      <c r="M1260" s="246" t="s">
        <v>3976</v>
      </c>
      <c r="N1260" s="115" t="s">
        <v>56</v>
      </c>
      <c r="O1260" s="181"/>
      <c r="P1260" s="181"/>
      <c r="Q1260" s="115">
        <v>30050.78</v>
      </c>
      <c r="R1260" s="115">
        <v>710701</v>
      </c>
      <c r="S1260" s="293">
        <v>710701</v>
      </c>
      <c r="T1260" s="293">
        <v>0</v>
      </c>
      <c r="U1260" s="293"/>
      <c r="V1260" s="293"/>
      <c r="W1260" s="293"/>
      <c r="X1260" s="293"/>
      <c r="Y1260" s="181"/>
      <c r="Z1260" s="181"/>
      <c r="AA1260" s="245"/>
      <c r="AB1260" s="181"/>
      <c r="AC1260" s="239"/>
      <c r="AD1260" s="239"/>
      <c r="AE1260" s="239"/>
      <c r="AF1260" s="115"/>
      <c r="AG1260" s="133"/>
      <c r="AH1260" s="133"/>
      <c r="AI1260" s="132">
        <f t="shared" si="401"/>
        <v>710701</v>
      </c>
      <c r="AJ1260" s="132">
        <f>S1260+U1260+V1260+W1260+X1260</f>
        <v>710701</v>
      </c>
      <c r="AK1260" s="133">
        <f t="shared" si="403"/>
        <v>0</v>
      </c>
      <c r="AL1260" s="132"/>
      <c r="AM1260" s="133" t="s">
        <v>854</v>
      </c>
      <c r="AN1260" s="246">
        <v>44882</v>
      </c>
      <c r="AO1260" s="259"/>
      <c r="AP1260" s="259"/>
      <c r="AQ1260" s="96"/>
      <c r="AR1260" s="96"/>
      <c r="AS1260" s="96"/>
      <c r="AT1260" s="96"/>
      <c r="AU1260" s="96"/>
      <c r="AV1260" s="96"/>
      <c r="AW1260" s="96"/>
      <c r="AX1260" s="96"/>
      <c r="AY1260" s="96"/>
      <c r="AZ1260" s="96"/>
      <c r="BA1260" s="96"/>
      <c r="BB1260" s="96"/>
      <c r="BC1260" s="96"/>
      <c r="BD1260" s="96"/>
      <c r="BE1260" s="96"/>
      <c r="BF1260" s="96"/>
    </row>
    <row r="1261" s="97" customFormat="1" customHeight="1" spans="1:57">
      <c r="A1261" s="115" t="s">
        <v>9599</v>
      </c>
      <c r="B1261" s="111" t="s">
        <v>9600</v>
      </c>
      <c r="C1261" s="554" t="s">
        <v>9601</v>
      </c>
      <c r="D1261" s="113" t="s">
        <v>9602</v>
      </c>
      <c r="E1261" s="111">
        <v>13633841194</v>
      </c>
      <c r="F1261" s="267">
        <v>4</v>
      </c>
      <c r="G1261" s="268">
        <v>4276</v>
      </c>
      <c r="H1261" s="274">
        <v>19.57</v>
      </c>
      <c r="I1261" s="274" t="s">
        <v>2657</v>
      </c>
      <c r="J1261" s="113" t="s">
        <v>9603</v>
      </c>
      <c r="K1261" s="116">
        <v>16.49</v>
      </c>
      <c r="L1261" s="266" t="s">
        <v>3956</v>
      </c>
      <c r="M1261" s="266" t="s">
        <v>3957</v>
      </c>
      <c r="N1261" s="113" t="s">
        <v>66</v>
      </c>
      <c r="O1261" s="113"/>
      <c r="P1261" s="113"/>
      <c r="Q1261" s="113">
        <v>27008.73</v>
      </c>
      <c r="R1261" s="113">
        <v>528561</v>
      </c>
      <c r="S1261" s="121">
        <v>368561</v>
      </c>
      <c r="T1261" s="292">
        <f>R1261-S1261</f>
        <v>160000</v>
      </c>
      <c r="U1261" s="113"/>
      <c r="V1261" s="113">
        <v>1272</v>
      </c>
      <c r="W1261" s="113">
        <v>560</v>
      </c>
      <c r="X1261" s="113"/>
      <c r="Y1261" s="113" t="s">
        <v>2669</v>
      </c>
      <c r="Z1261" s="113" t="s">
        <v>48</v>
      </c>
      <c r="AA1261" s="275">
        <v>44083</v>
      </c>
      <c r="AB1261" s="113"/>
      <c r="AC1261" s="113">
        <v>1236</v>
      </c>
      <c r="AD1261" s="122"/>
      <c r="AE1261" s="133"/>
      <c r="AF1261" s="115"/>
      <c r="AG1261" s="133"/>
      <c r="AH1261" s="133"/>
      <c r="AI1261" s="132">
        <f t="shared" ref="AI1261:AI1269" si="406">S1261+U1261+V1261+W1261+X1261+AC1261+AD1261+AE1261</f>
        <v>371629</v>
      </c>
      <c r="AJ1261" s="132">
        <f t="shared" ref="AJ1261:AJ1269" si="407">S1261+U1261+V1261+W1261+X1261</f>
        <v>370393</v>
      </c>
      <c r="AK1261" s="133">
        <f t="shared" ref="AK1261:AK1269" si="408">AI1261-AJ1261</f>
        <v>1236</v>
      </c>
      <c r="AL1261" s="198"/>
      <c r="AM1261" s="133" t="s">
        <v>886</v>
      </c>
      <c r="AN1261" s="246">
        <v>44888</v>
      </c>
      <c r="AO1261" s="100"/>
      <c r="AP1261" s="96"/>
      <c r="AQ1261" s="96"/>
      <c r="AR1261" s="96"/>
      <c r="AS1261" s="96"/>
      <c r="AT1261" s="96"/>
      <c r="AU1261" s="96"/>
      <c r="AV1261" s="96"/>
      <c r="AW1261" s="96"/>
      <c r="AX1261" s="96"/>
      <c r="AY1261" s="96"/>
      <c r="AZ1261" s="96"/>
      <c r="BA1261" s="96"/>
      <c r="BB1261" s="96"/>
      <c r="BC1261" s="96"/>
      <c r="BD1261" s="96"/>
      <c r="BE1261" s="96"/>
    </row>
    <row r="1262" s="97" customFormat="1" customHeight="1" spans="1:57">
      <c r="A1262" s="115" t="s">
        <v>9604</v>
      </c>
      <c r="B1262" s="111" t="s">
        <v>9605</v>
      </c>
      <c r="C1262" s="111" t="s">
        <v>9606</v>
      </c>
      <c r="D1262" s="113" t="s">
        <v>9607</v>
      </c>
      <c r="E1262" s="111">
        <v>13619841288</v>
      </c>
      <c r="F1262" s="267">
        <v>2</v>
      </c>
      <c r="G1262" s="268">
        <v>247</v>
      </c>
      <c r="H1262" s="274">
        <v>27.2</v>
      </c>
      <c r="I1262" s="274" t="s">
        <v>2665</v>
      </c>
      <c r="J1262" s="113" t="s">
        <v>9608</v>
      </c>
      <c r="K1262" s="116">
        <v>25.2</v>
      </c>
      <c r="L1262" s="266" t="s">
        <v>2711</v>
      </c>
      <c r="M1262" s="266" t="s">
        <v>4799</v>
      </c>
      <c r="N1262" s="113" t="s">
        <v>56</v>
      </c>
      <c r="O1262" s="113"/>
      <c r="P1262" s="113"/>
      <c r="Q1262" s="113">
        <v>28773.4523809524</v>
      </c>
      <c r="R1262" s="113">
        <v>782638</v>
      </c>
      <c r="S1262" s="121">
        <v>782638</v>
      </c>
      <c r="T1262" s="292">
        <f>R1262-S1262</f>
        <v>0</v>
      </c>
      <c r="U1262" s="113"/>
      <c r="V1262" s="113">
        <v>1768</v>
      </c>
      <c r="W1262" s="113">
        <v>550</v>
      </c>
      <c r="X1262" s="113"/>
      <c r="Y1262" s="113" t="s">
        <v>2669</v>
      </c>
      <c r="Z1262" s="113"/>
      <c r="AA1262" s="275"/>
      <c r="AB1262" s="113"/>
      <c r="AC1262" s="113"/>
      <c r="AD1262" s="122"/>
      <c r="AE1262" s="133"/>
      <c r="AF1262" s="115"/>
      <c r="AG1262" s="133"/>
      <c r="AH1262" s="133"/>
      <c r="AI1262" s="132">
        <f t="shared" si="406"/>
        <v>784956</v>
      </c>
      <c r="AJ1262" s="132">
        <f t="shared" si="407"/>
        <v>784956</v>
      </c>
      <c r="AK1262" s="133">
        <f t="shared" si="408"/>
        <v>0</v>
      </c>
      <c r="AL1262" s="198"/>
      <c r="AM1262" s="133" t="s">
        <v>886</v>
      </c>
      <c r="AN1262" s="246">
        <v>44888</v>
      </c>
      <c r="AO1262" s="100"/>
      <c r="AP1262" s="96"/>
      <c r="AQ1262" s="96"/>
      <c r="AR1262" s="96"/>
      <c r="AS1262" s="96"/>
      <c r="AT1262" s="96"/>
      <c r="AU1262" s="96"/>
      <c r="AV1262" s="96"/>
      <c r="AW1262" s="96"/>
      <c r="AX1262" s="96"/>
      <c r="AY1262" s="96"/>
      <c r="AZ1262" s="96"/>
      <c r="BA1262" s="96"/>
      <c r="BB1262" s="96"/>
      <c r="BC1262" s="96"/>
      <c r="BD1262" s="96"/>
      <c r="BE1262" s="96"/>
    </row>
    <row r="1263" s="97" customFormat="1" customHeight="1" spans="1:57">
      <c r="A1263" s="115" t="s">
        <v>9609</v>
      </c>
      <c r="B1263" s="115" t="s">
        <v>9610</v>
      </c>
      <c r="C1263" s="155" t="s">
        <v>9611</v>
      </c>
      <c r="D1263" s="291" t="s">
        <v>9612</v>
      </c>
      <c r="E1263" s="156">
        <v>15637176866</v>
      </c>
      <c r="F1263" s="115">
        <v>3</v>
      </c>
      <c r="G1263" s="115">
        <v>336</v>
      </c>
      <c r="H1263" s="156">
        <v>37.22</v>
      </c>
      <c r="I1263" s="115" t="s">
        <v>2665</v>
      </c>
      <c r="J1263" s="181" t="s">
        <v>9613</v>
      </c>
      <c r="K1263" s="156">
        <v>35.98</v>
      </c>
      <c r="L1263" s="115" t="s">
        <v>2711</v>
      </c>
      <c r="M1263" s="246" t="s">
        <v>2799</v>
      </c>
      <c r="N1263" s="115" t="s">
        <v>56</v>
      </c>
      <c r="O1263" s="181"/>
      <c r="P1263" s="181"/>
      <c r="Q1263" s="115">
        <v>21958.0322401334</v>
      </c>
      <c r="R1263" s="115">
        <v>790050</v>
      </c>
      <c r="S1263" s="293">
        <v>790050</v>
      </c>
      <c r="T1263" s="293">
        <v>0</v>
      </c>
      <c r="U1263" s="293"/>
      <c r="V1263" s="293"/>
      <c r="W1263" s="293"/>
      <c r="X1263" s="293"/>
      <c r="Y1263" s="181"/>
      <c r="Z1263" s="181"/>
      <c r="AA1263" s="245"/>
      <c r="AB1263" s="181"/>
      <c r="AC1263" s="239"/>
      <c r="AD1263" s="239"/>
      <c r="AE1263" s="133"/>
      <c r="AF1263" s="115"/>
      <c r="AG1263" s="133"/>
      <c r="AH1263" s="133"/>
      <c r="AI1263" s="132">
        <f t="shared" si="406"/>
        <v>790050</v>
      </c>
      <c r="AJ1263" s="132">
        <f t="shared" si="407"/>
        <v>790050</v>
      </c>
      <c r="AK1263" s="133">
        <f t="shared" si="408"/>
        <v>0</v>
      </c>
      <c r="AL1263" s="132"/>
      <c r="AM1263" s="133" t="s">
        <v>854</v>
      </c>
      <c r="AN1263" s="246">
        <v>44882</v>
      </c>
      <c r="AO1263" s="100"/>
      <c r="AP1263" s="96"/>
      <c r="AQ1263" s="96"/>
      <c r="AR1263" s="96"/>
      <c r="AS1263" s="96"/>
      <c r="AT1263" s="96"/>
      <c r="AU1263" s="96"/>
      <c r="AV1263" s="96"/>
      <c r="AW1263" s="96"/>
      <c r="AX1263" s="96"/>
      <c r="AY1263" s="96"/>
      <c r="AZ1263" s="96"/>
      <c r="BA1263" s="96"/>
      <c r="BB1263" s="96"/>
      <c r="BC1263" s="96"/>
      <c r="BD1263" s="96"/>
      <c r="BE1263" s="96"/>
    </row>
    <row r="1264" s="97" customFormat="1" customHeight="1" spans="1:57">
      <c r="A1264" s="115" t="s">
        <v>9614</v>
      </c>
      <c r="B1264" s="111" t="s">
        <v>9615</v>
      </c>
      <c r="C1264" s="554" t="s">
        <v>9616</v>
      </c>
      <c r="D1264" s="113" t="s">
        <v>9617</v>
      </c>
      <c r="E1264" s="111">
        <v>13603701785</v>
      </c>
      <c r="F1264" s="267">
        <v>4</v>
      </c>
      <c r="G1264" s="268">
        <v>4504</v>
      </c>
      <c r="H1264" s="274">
        <v>10.28</v>
      </c>
      <c r="I1264" s="274" t="s">
        <v>2657</v>
      </c>
      <c r="J1264" s="113" t="s">
        <v>9618</v>
      </c>
      <c r="K1264" s="116">
        <v>7.88</v>
      </c>
      <c r="L1264" s="266" t="s">
        <v>3408</v>
      </c>
      <c r="M1264" s="266" t="s">
        <v>3096</v>
      </c>
      <c r="N1264" s="113" t="s">
        <v>66</v>
      </c>
      <c r="O1264" s="113"/>
      <c r="P1264" s="113"/>
      <c r="Q1264" s="113">
        <v>26287.69</v>
      </c>
      <c r="R1264" s="113">
        <v>207147</v>
      </c>
      <c r="S1264" s="121">
        <v>107147</v>
      </c>
      <c r="T1264" s="292">
        <f t="shared" ref="T1264:T1280" si="409">R1264-S1264</f>
        <v>100000</v>
      </c>
      <c r="U1264" s="113"/>
      <c r="V1264" s="113"/>
      <c r="W1264" s="113"/>
      <c r="X1264" s="113"/>
      <c r="Y1264" s="113"/>
      <c r="Z1264" s="113"/>
      <c r="AA1264" s="275"/>
      <c r="AB1264" s="113"/>
      <c r="AC1264" s="113">
        <v>600</v>
      </c>
      <c r="AD1264" s="122"/>
      <c r="AE1264" s="133"/>
      <c r="AF1264" s="115"/>
      <c r="AG1264" s="133"/>
      <c r="AH1264" s="133"/>
      <c r="AI1264" s="132">
        <f t="shared" si="406"/>
        <v>107747</v>
      </c>
      <c r="AJ1264" s="132">
        <f t="shared" si="407"/>
        <v>107147</v>
      </c>
      <c r="AK1264" s="133">
        <f t="shared" si="408"/>
        <v>600</v>
      </c>
      <c r="AL1264" s="198"/>
      <c r="AM1264" s="133" t="s">
        <v>886</v>
      </c>
      <c r="AN1264" s="246">
        <v>44888</v>
      </c>
      <c r="AO1264" s="100"/>
      <c r="AP1264" s="96"/>
      <c r="AQ1264" s="96"/>
      <c r="AR1264" s="96"/>
      <c r="AS1264" s="96"/>
      <c r="AT1264" s="96"/>
      <c r="AU1264" s="96"/>
      <c r="AV1264" s="96"/>
      <c r="AW1264" s="96"/>
      <c r="AX1264" s="96"/>
      <c r="AY1264" s="96"/>
      <c r="AZ1264" s="96"/>
      <c r="BA1264" s="96"/>
      <c r="BB1264" s="96"/>
      <c r="BC1264" s="96"/>
      <c r="BD1264" s="96"/>
      <c r="BE1264" s="96"/>
    </row>
    <row r="1265" s="97" customFormat="1" customHeight="1" spans="1:57">
      <c r="A1265" s="115" t="s">
        <v>9619</v>
      </c>
      <c r="B1265" s="111" t="s">
        <v>9615</v>
      </c>
      <c r="C1265" s="554" t="s">
        <v>9616</v>
      </c>
      <c r="D1265" s="113" t="s">
        <v>9617</v>
      </c>
      <c r="E1265" s="111">
        <v>13603701785</v>
      </c>
      <c r="F1265" s="267">
        <v>4</v>
      </c>
      <c r="G1265" s="268">
        <v>4503</v>
      </c>
      <c r="H1265" s="274">
        <v>14.99</v>
      </c>
      <c r="I1265" s="274" t="s">
        <v>2657</v>
      </c>
      <c r="J1265" s="113" t="s">
        <v>9620</v>
      </c>
      <c r="K1265" s="116">
        <v>11.69</v>
      </c>
      <c r="L1265" s="266" t="s">
        <v>3408</v>
      </c>
      <c r="M1265" s="266" t="s">
        <v>3096</v>
      </c>
      <c r="N1265" s="113" t="s">
        <v>66</v>
      </c>
      <c r="O1265" s="113"/>
      <c r="P1265" s="113"/>
      <c r="Q1265" s="113">
        <v>26287.68</v>
      </c>
      <c r="R1265" s="113">
        <v>307303</v>
      </c>
      <c r="S1265" s="121">
        <v>157303</v>
      </c>
      <c r="T1265" s="292">
        <f t="shared" si="409"/>
        <v>150000</v>
      </c>
      <c r="U1265" s="113"/>
      <c r="V1265" s="113"/>
      <c r="W1265" s="113"/>
      <c r="X1265" s="113"/>
      <c r="Y1265" s="113"/>
      <c r="Z1265" s="113"/>
      <c r="AA1265" s="275"/>
      <c r="AB1265" s="113"/>
      <c r="AC1265" s="113"/>
      <c r="AD1265" s="122"/>
      <c r="AE1265" s="133"/>
      <c r="AF1265" s="115"/>
      <c r="AG1265" s="133"/>
      <c r="AH1265" s="133"/>
      <c r="AI1265" s="132">
        <f t="shared" si="406"/>
        <v>157303</v>
      </c>
      <c r="AJ1265" s="132">
        <f t="shared" si="407"/>
        <v>157303</v>
      </c>
      <c r="AK1265" s="133">
        <f t="shared" si="408"/>
        <v>0</v>
      </c>
      <c r="AL1265" s="198"/>
      <c r="AM1265" s="133" t="s">
        <v>886</v>
      </c>
      <c r="AN1265" s="246">
        <v>44888</v>
      </c>
      <c r="AO1265" s="100"/>
      <c r="AP1265" s="96"/>
      <c r="AQ1265" s="96"/>
      <c r="AR1265" s="96"/>
      <c r="AS1265" s="96"/>
      <c r="AT1265" s="96"/>
      <c r="AU1265" s="96"/>
      <c r="AV1265" s="96"/>
      <c r="AW1265" s="96"/>
      <c r="AX1265" s="96"/>
      <c r="AY1265" s="96"/>
      <c r="AZ1265" s="96"/>
      <c r="BA1265" s="96"/>
      <c r="BB1265" s="96"/>
      <c r="BC1265" s="96"/>
      <c r="BD1265" s="96"/>
      <c r="BE1265" s="96"/>
    </row>
    <row r="1266" s="97" customFormat="1" customHeight="1" spans="1:57">
      <c r="A1266" s="115" t="s">
        <v>9621</v>
      </c>
      <c r="B1266" s="111" t="s">
        <v>9622</v>
      </c>
      <c r="C1266" s="554" t="s">
        <v>9623</v>
      </c>
      <c r="D1266" s="113" t="s">
        <v>9624</v>
      </c>
      <c r="E1266" s="111">
        <v>18638252211</v>
      </c>
      <c r="F1266" s="267">
        <v>4</v>
      </c>
      <c r="G1266" s="268">
        <v>4505</v>
      </c>
      <c r="H1266" s="274">
        <v>10.28</v>
      </c>
      <c r="I1266" s="274" t="s">
        <v>2657</v>
      </c>
      <c r="J1266" s="113" t="s">
        <v>9625</v>
      </c>
      <c r="K1266" s="116">
        <v>7.88</v>
      </c>
      <c r="L1266" s="266" t="s">
        <v>3408</v>
      </c>
      <c r="M1266" s="266" t="s">
        <v>3096</v>
      </c>
      <c r="N1266" s="113" t="s">
        <v>66</v>
      </c>
      <c r="O1266" s="113"/>
      <c r="P1266" s="113"/>
      <c r="Q1266" s="113">
        <v>26287.69</v>
      </c>
      <c r="R1266" s="113">
        <v>207147</v>
      </c>
      <c r="S1266" s="121">
        <v>107147</v>
      </c>
      <c r="T1266" s="292">
        <f t="shared" si="409"/>
        <v>100000</v>
      </c>
      <c r="U1266" s="113"/>
      <c r="V1266" s="113"/>
      <c r="W1266" s="113"/>
      <c r="X1266" s="113"/>
      <c r="Y1266" s="113"/>
      <c r="Z1266" s="113"/>
      <c r="AA1266" s="275"/>
      <c r="AB1266" s="113"/>
      <c r="AC1266" s="113">
        <v>500</v>
      </c>
      <c r="AD1266" s="122"/>
      <c r="AE1266" s="133"/>
      <c r="AF1266" s="115"/>
      <c r="AG1266" s="133"/>
      <c r="AH1266" s="133"/>
      <c r="AI1266" s="132">
        <f t="shared" si="406"/>
        <v>107647</v>
      </c>
      <c r="AJ1266" s="132">
        <f t="shared" si="407"/>
        <v>107147</v>
      </c>
      <c r="AK1266" s="133">
        <f t="shared" si="408"/>
        <v>500</v>
      </c>
      <c r="AL1266" s="198"/>
      <c r="AM1266" s="133" t="s">
        <v>886</v>
      </c>
      <c r="AN1266" s="246">
        <v>44888</v>
      </c>
      <c r="AO1266" s="100"/>
      <c r="AP1266" s="96"/>
      <c r="AQ1266" s="96"/>
      <c r="AR1266" s="96"/>
      <c r="AS1266" s="96"/>
      <c r="AT1266" s="96"/>
      <c r="AU1266" s="96"/>
      <c r="AV1266" s="96"/>
      <c r="AW1266" s="96"/>
      <c r="AX1266" s="96"/>
      <c r="AY1266" s="96"/>
      <c r="AZ1266" s="96"/>
      <c r="BA1266" s="96"/>
      <c r="BB1266" s="96"/>
      <c r="BC1266" s="96"/>
      <c r="BD1266" s="96"/>
      <c r="BE1266" s="96"/>
    </row>
    <row r="1267" s="97" customFormat="1" customHeight="1" spans="1:57">
      <c r="A1267" s="115" t="s">
        <v>9626</v>
      </c>
      <c r="B1267" s="111" t="s">
        <v>9622</v>
      </c>
      <c r="C1267" s="554" t="s">
        <v>9623</v>
      </c>
      <c r="D1267" s="113" t="s">
        <v>9624</v>
      </c>
      <c r="E1267" s="111">
        <v>18638252211</v>
      </c>
      <c r="F1267" s="267">
        <v>4</v>
      </c>
      <c r="G1267" s="268">
        <v>4506</v>
      </c>
      <c r="H1267" s="274">
        <v>10.28</v>
      </c>
      <c r="I1267" s="274" t="s">
        <v>2657</v>
      </c>
      <c r="J1267" s="113" t="s">
        <v>9627</v>
      </c>
      <c r="K1267" s="116">
        <v>7.52</v>
      </c>
      <c r="L1267" s="266" t="s">
        <v>3408</v>
      </c>
      <c r="M1267" s="266" t="s">
        <v>3096</v>
      </c>
      <c r="N1267" s="113" t="s">
        <v>66</v>
      </c>
      <c r="O1267" s="113"/>
      <c r="P1267" s="113"/>
      <c r="Q1267" s="113">
        <v>26287.63</v>
      </c>
      <c r="R1267" s="113">
        <v>197683</v>
      </c>
      <c r="S1267" s="121">
        <v>107683</v>
      </c>
      <c r="T1267" s="292">
        <f t="shared" si="409"/>
        <v>90000</v>
      </c>
      <c r="U1267" s="113"/>
      <c r="V1267" s="113"/>
      <c r="W1267" s="113"/>
      <c r="X1267" s="113"/>
      <c r="Y1267" s="113"/>
      <c r="Z1267" s="113"/>
      <c r="AA1267" s="275"/>
      <c r="AB1267" s="113"/>
      <c r="AC1267" s="113"/>
      <c r="AD1267" s="122"/>
      <c r="AE1267" s="133"/>
      <c r="AF1267" s="115"/>
      <c r="AG1267" s="133"/>
      <c r="AH1267" s="133"/>
      <c r="AI1267" s="132">
        <f t="shared" si="406"/>
        <v>107683</v>
      </c>
      <c r="AJ1267" s="132">
        <f t="shared" si="407"/>
        <v>107683</v>
      </c>
      <c r="AK1267" s="133">
        <f t="shared" si="408"/>
        <v>0</v>
      </c>
      <c r="AL1267" s="198"/>
      <c r="AM1267" s="133" t="s">
        <v>886</v>
      </c>
      <c r="AN1267" s="246">
        <v>44888</v>
      </c>
      <c r="AO1267" s="100"/>
      <c r="AP1267" s="96"/>
      <c r="AQ1267" s="96"/>
      <c r="AR1267" s="96"/>
      <c r="AS1267" s="96"/>
      <c r="AT1267" s="96"/>
      <c r="AU1267" s="96"/>
      <c r="AV1267" s="96"/>
      <c r="AW1267" s="96"/>
      <c r="AX1267" s="96"/>
      <c r="AY1267" s="96"/>
      <c r="AZ1267" s="96"/>
      <c r="BA1267" s="96"/>
      <c r="BB1267" s="96"/>
      <c r="BC1267" s="96"/>
      <c r="BD1267" s="96"/>
      <c r="BE1267" s="96"/>
    </row>
    <row r="1268" s="97" customFormat="1" customHeight="1" spans="1:57">
      <c r="A1268" s="115" t="s">
        <v>9628</v>
      </c>
      <c r="B1268" s="111" t="s">
        <v>9629</v>
      </c>
      <c r="C1268" s="111" t="s">
        <v>9630</v>
      </c>
      <c r="D1268" s="113" t="s">
        <v>9631</v>
      </c>
      <c r="E1268" s="111">
        <v>15290435270</v>
      </c>
      <c r="F1268" s="267">
        <v>3</v>
      </c>
      <c r="G1268" s="268">
        <v>3685</v>
      </c>
      <c r="H1268" s="274">
        <v>17</v>
      </c>
      <c r="I1268" s="274" t="s">
        <v>2657</v>
      </c>
      <c r="J1268" s="113" t="s">
        <v>9632</v>
      </c>
      <c r="K1268" s="116">
        <v>16.16</v>
      </c>
      <c r="L1268" s="266" t="s">
        <v>2891</v>
      </c>
      <c r="M1268" s="266" t="s">
        <v>2891</v>
      </c>
      <c r="N1268" s="113" t="s">
        <v>56</v>
      </c>
      <c r="O1268" s="113"/>
      <c r="P1268" s="113"/>
      <c r="Q1268" s="113">
        <v>31162.5</v>
      </c>
      <c r="R1268" s="113">
        <v>503586</v>
      </c>
      <c r="S1268" s="121">
        <v>503586</v>
      </c>
      <c r="T1268" s="292">
        <f t="shared" si="409"/>
        <v>0</v>
      </c>
      <c r="U1268" s="113"/>
      <c r="V1268" s="113"/>
      <c r="W1268" s="113"/>
      <c r="X1268" s="113"/>
      <c r="Y1268" s="113"/>
      <c r="Z1268" s="113"/>
      <c r="AA1268" s="275"/>
      <c r="AB1268" s="113"/>
      <c r="AC1268" s="113"/>
      <c r="AD1268" s="122"/>
      <c r="AE1268" s="133"/>
      <c r="AF1268" s="115"/>
      <c r="AG1268" s="133"/>
      <c r="AH1268" s="133"/>
      <c r="AI1268" s="132">
        <f t="shared" si="406"/>
        <v>503586</v>
      </c>
      <c r="AJ1268" s="132">
        <f t="shared" si="407"/>
        <v>503586</v>
      </c>
      <c r="AK1268" s="133">
        <f t="shared" si="408"/>
        <v>0</v>
      </c>
      <c r="AL1268" s="198" t="s">
        <v>9633</v>
      </c>
      <c r="AM1268" s="133" t="s">
        <v>886</v>
      </c>
      <c r="AN1268" s="246">
        <v>44882</v>
      </c>
      <c r="AO1268" s="100"/>
      <c r="AP1268" s="96"/>
      <c r="AQ1268" s="96"/>
      <c r="AR1268" s="96"/>
      <c r="AS1268" s="96"/>
      <c r="AT1268" s="96"/>
      <c r="AU1268" s="96"/>
      <c r="AV1268" s="96"/>
      <c r="AW1268" s="96"/>
      <c r="AX1268" s="96"/>
      <c r="AY1268" s="96"/>
      <c r="AZ1268" s="96"/>
      <c r="BA1268" s="96"/>
      <c r="BB1268" s="96"/>
      <c r="BC1268" s="96"/>
      <c r="BD1268" s="96"/>
      <c r="BE1268" s="96"/>
    </row>
    <row r="1269" s="97" customFormat="1" customHeight="1" spans="1:57">
      <c r="A1269" s="115" t="s">
        <v>9634</v>
      </c>
      <c r="B1269" s="111" t="s">
        <v>9635</v>
      </c>
      <c r="C1269" s="111" t="s">
        <v>9636</v>
      </c>
      <c r="D1269" s="113" t="s">
        <v>9637</v>
      </c>
      <c r="E1269" s="111">
        <v>13526662127</v>
      </c>
      <c r="F1269" s="267">
        <v>3</v>
      </c>
      <c r="G1269" s="268" t="s">
        <v>9638</v>
      </c>
      <c r="H1269" s="274">
        <v>26.68</v>
      </c>
      <c r="I1269" s="274" t="s">
        <v>2657</v>
      </c>
      <c r="J1269" s="113" t="s">
        <v>9639</v>
      </c>
      <c r="K1269" s="116">
        <v>19.53</v>
      </c>
      <c r="L1269" s="266" t="s">
        <v>2875</v>
      </c>
      <c r="M1269" s="266"/>
      <c r="N1269" s="113" t="s">
        <v>66</v>
      </c>
      <c r="O1269" s="113"/>
      <c r="P1269" s="113"/>
      <c r="Q1269" s="113"/>
      <c r="R1269" s="113"/>
      <c r="S1269" s="121">
        <v>10000</v>
      </c>
      <c r="T1269" s="292">
        <f t="shared" si="409"/>
        <v>-10000</v>
      </c>
      <c r="U1269" s="113"/>
      <c r="V1269" s="113"/>
      <c r="W1269" s="113"/>
      <c r="X1269" s="113"/>
      <c r="Y1269" s="113"/>
      <c r="Z1269" s="113"/>
      <c r="AA1269" s="275"/>
      <c r="AB1269" s="113"/>
      <c r="AC1269" s="113"/>
      <c r="AD1269" s="122"/>
      <c r="AE1269" s="133"/>
      <c r="AF1269" s="115"/>
      <c r="AG1269" s="133"/>
      <c r="AH1269" s="133"/>
      <c r="AI1269" s="132">
        <f t="shared" si="406"/>
        <v>10000</v>
      </c>
      <c r="AJ1269" s="132">
        <f t="shared" si="407"/>
        <v>10000</v>
      </c>
      <c r="AK1269" s="133">
        <f t="shared" si="408"/>
        <v>0</v>
      </c>
      <c r="AL1269" s="198"/>
      <c r="AM1269" s="133" t="s">
        <v>886</v>
      </c>
      <c r="AN1269" s="246">
        <v>44882</v>
      </c>
      <c r="AO1269" s="100"/>
      <c r="AP1269" s="96"/>
      <c r="AQ1269" s="96"/>
      <c r="AR1269" s="96"/>
      <c r="AS1269" s="96"/>
      <c r="AT1269" s="96"/>
      <c r="AU1269" s="96"/>
      <c r="AV1269" s="96"/>
      <c r="AW1269" s="96"/>
      <c r="AX1269" s="96"/>
      <c r="AY1269" s="96"/>
      <c r="AZ1269" s="96"/>
      <c r="BA1269" s="96"/>
      <c r="BB1269" s="96"/>
      <c r="BC1269" s="96"/>
      <c r="BD1269" s="96"/>
      <c r="BE1269" s="96"/>
    </row>
    <row r="1270" s="97" customFormat="1" customHeight="1" spans="1:57">
      <c r="A1270" s="115" t="s">
        <v>9640</v>
      </c>
      <c r="B1270" s="139" t="s">
        <v>9641</v>
      </c>
      <c r="C1270" s="139" t="s">
        <v>9642</v>
      </c>
      <c r="D1270" s="374" t="s">
        <v>9643</v>
      </c>
      <c r="E1270" s="140">
        <v>18530088868</v>
      </c>
      <c r="F1270" s="375">
        <v>3</v>
      </c>
      <c r="G1270" s="376">
        <v>3861</v>
      </c>
      <c r="H1270" s="141">
        <v>31.22</v>
      </c>
      <c r="I1270" s="141" t="s">
        <v>2657</v>
      </c>
      <c r="J1270" s="140" t="s">
        <v>9644</v>
      </c>
      <c r="K1270" s="140">
        <v>28.28</v>
      </c>
      <c r="L1270" s="378" t="s">
        <v>3264</v>
      </c>
      <c r="M1270" s="378" t="s">
        <v>3264</v>
      </c>
      <c r="N1270" s="140" t="s">
        <v>66</v>
      </c>
      <c r="O1270" s="140"/>
      <c r="P1270" s="140"/>
      <c r="Q1270" s="140">
        <v>31361.8</v>
      </c>
      <c r="R1270" s="140">
        <v>886913</v>
      </c>
      <c r="S1270" s="374">
        <v>446913</v>
      </c>
      <c r="T1270" s="388">
        <f t="shared" si="409"/>
        <v>440000</v>
      </c>
      <c r="U1270" s="140"/>
      <c r="V1270" s="140"/>
      <c r="W1270" s="140"/>
      <c r="X1270" s="140"/>
      <c r="Y1270" s="140"/>
      <c r="Z1270" s="140"/>
      <c r="AA1270" s="140"/>
      <c r="AB1270" s="140"/>
      <c r="AC1270" s="113"/>
      <c r="AD1270" s="122"/>
      <c r="AE1270" s="133"/>
      <c r="AF1270" s="115"/>
      <c r="AG1270" s="133"/>
      <c r="AH1270" s="133">
        <f>S1270</f>
        <v>446913</v>
      </c>
      <c r="AI1270" s="132">
        <f t="shared" ref="AI1270:AI1281" si="410">S1270+U1270+V1270+W1270+X1270+AC1270+AD1270+AE1270</f>
        <v>446913</v>
      </c>
      <c r="AJ1270" s="132">
        <f t="shared" ref="AJ1270:AJ1281" si="411">S1270+U1270+V1270+W1270+X1270</f>
        <v>446913</v>
      </c>
      <c r="AK1270" s="133">
        <f t="shared" ref="AK1270:AK1281" si="412">AI1270-AJ1270</f>
        <v>0</v>
      </c>
      <c r="AL1270" s="198"/>
      <c r="AM1270" s="133" t="s">
        <v>900</v>
      </c>
      <c r="AN1270" s="246">
        <v>44887</v>
      </c>
      <c r="AO1270" s="100"/>
      <c r="AP1270" s="96"/>
      <c r="AQ1270" s="96"/>
      <c r="AR1270" s="96"/>
      <c r="AS1270" s="96"/>
      <c r="AT1270" s="96"/>
      <c r="AU1270" s="96"/>
      <c r="AV1270" s="96"/>
      <c r="AW1270" s="96"/>
      <c r="AX1270" s="96"/>
      <c r="AY1270" s="96"/>
      <c r="AZ1270" s="96"/>
      <c r="BA1270" s="96"/>
      <c r="BB1270" s="96"/>
      <c r="BC1270" s="96"/>
      <c r="BD1270" s="96"/>
      <c r="BE1270" s="96"/>
    </row>
    <row r="1271" s="97" customFormat="1" customHeight="1" spans="1:57">
      <c r="A1271" s="115" t="s">
        <v>9645</v>
      </c>
      <c r="B1271" s="139" t="s">
        <v>9641</v>
      </c>
      <c r="C1271" s="139" t="s">
        <v>9642</v>
      </c>
      <c r="D1271" s="374"/>
      <c r="E1271" s="140">
        <v>18530088868</v>
      </c>
      <c r="F1271" s="375">
        <v>3</v>
      </c>
      <c r="G1271" s="376">
        <v>3833</v>
      </c>
      <c r="H1271" s="141">
        <v>26.68</v>
      </c>
      <c r="I1271" s="141" t="s">
        <v>2657</v>
      </c>
      <c r="J1271" s="140" t="s">
        <v>9646</v>
      </c>
      <c r="K1271" s="140">
        <v>24.13</v>
      </c>
      <c r="L1271" s="378" t="s">
        <v>6865</v>
      </c>
      <c r="M1271" s="378" t="s">
        <v>6865</v>
      </c>
      <c r="N1271" s="140" t="s">
        <v>66</v>
      </c>
      <c r="O1271" s="140"/>
      <c r="P1271" s="140"/>
      <c r="Q1271" s="140">
        <v>31196.22</v>
      </c>
      <c r="R1271" s="140">
        <v>752765</v>
      </c>
      <c r="S1271" s="374">
        <v>382765</v>
      </c>
      <c r="T1271" s="388">
        <f t="shared" si="409"/>
        <v>370000</v>
      </c>
      <c r="U1271" s="140"/>
      <c r="V1271" s="140"/>
      <c r="W1271" s="140"/>
      <c r="X1271" s="140"/>
      <c r="Y1271" s="140"/>
      <c r="Z1271" s="140"/>
      <c r="AA1271" s="140"/>
      <c r="AB1271" s="140"/>
      <c r="AC1271" s="113"/>
      <c r="AD1271" s="122"/>
      <c r="AE1271" s="133"/>
      <c r="AF1271" s="115"/>
      <c r="AG1271" s="133"/>
      <c r="AH1271" s="133"/>
      <c r="AI1271" s="132">
        <f t="shared" si="410"/>
        <v>382765</v>
      </c>
      <c r="AJ1271" s="132">
        <f t="shared" si="411"/>
        <v>382765</v>
      </c>
      <c r="AK1271" s="133">
        <f t="shared" si="412"/>
        <v>0</v>
      </c>
      <c r="AL1271" s="198"/>
      <c r="AM1271" s="133" t="s">
        <v>900</v>
      </c>
      <c r="AN1271" s="246">
        <v>44887</v>
      </c>
      <c r="AO1271" s="100"/>
      <c r="AP1271" s="96"/>
      <c r="AQ1271" s="96"/>
      <c r="AR1271" s="96"/>
      <c r="AS1271" s="96"/>
      <c r="AT1271" s="96"/>
      <c r="AU1271" s="96"/>
      <c r="AV1271" s="96"/>
      <c r="AW1271" s="96"/>
      <c r="AX1271" s="96"/>
      <c r="AY1271" s="96"/>
      <c r="AZ1271" s="96"/>
      <c r="BA1271" s="96"/>
      <c r="BB1271" s="96"/>
      <c r="BC1271" s="96"/>
      <c r="BD1271" s="96"/>
      <c r="BE1271" s="96"/>
    </row>
    <row r="1272" s="97" customFormat="1" customHeight="1" spans="1:57">
      <c r="A1272" s="115" t="s">
        <v>9647</v>
      </c>
      <c r="B1272" s="139" t="s">
        <v>9648</v>
      </c>
      <c r="C1272" s="139" t="s">
        <v>9649</v>
      </c>
      <c r="D1272" s="140" t="s">
        <v>9650</v>
      </c>
      <c r="E1272" s="140" t="s">
        <v>9651</v>
      </c>
      <c r="F1272" s="375">
        <v>1</v>
      </c>
      <c r="G1272" s="376" t="s">
        <v>9652</v>
      </c>
      <c r="H1272" s="141">
        <v>12.86</v>
      </c>
      <c r="I1272" s="141" t="s">
        <v>2657</v>
      </c>
      <c r="J1272" s="140" t="s">
        <v>9653</v>
      </c>
      <c r="K1272" s="144">
        <v>11.76</v>
      </c>
      <c r="L1272" s="378" t="s">
        <v>3408</v>
      </c>
      <c r="M1272" s="378" t="s">
        <v>6306</v>
      </c>
      <c r="N1272" s="140" t="s">
        <v>66</v>
      </c>
      <c r="O1272" s="140"/>
      <c r="P1272" s="140"/>
      <c r="Q1272" s="142">
        <v>48211.51</v>
      </c>
      <c r="R1272" s="140">
        <v>620000</v>
      </c>
      <c r="S1272" s="374">
        <v>310000</v>
      </c>
      <c r="T1272" s="388">
        <f t="shared" si="409"/>
        <v>310000</v>
      </c>
      <c r="U1272" s="140"/>
      <c r="V1272" s="140">
        <v>835</v>
      </c>
      <c r="W1272" s="140">
        <v>560</v>
      </c>
      <c r="X1272" s="140"/>
      <c r="Y1272" s="140"/>
      <c r="Z1272" s="140"/>
      <c r="AA1272" s="140"/>
      <c r="AB1272" s="140"/>
      <c r="AC1272" s="113"/>
      <c r="AD1272" s="122"/>
      <c r="AE1272" s="133"/>
      <c r="AF1272" s="115"/>
      <c r="AG1272" s="133"/>
      <c r="AH1272" s="133"/>
      <c r="AI1272" s="132">
        <f t="shared" si="410"/>
        <v>311395</v>
      </c>
      <c r="AJ1272" s="132">
        <f t="shared" si="411"/>
        <v>311395</v>
      </c>
      <c r="AK1272" s="133">
        <f t="shared" si="412"/>
        <v>0</v>
      </c>
      <c r="AL1272" s="198"/>
      <c r="AM1272" s="133" t="s">
        <v>900</v>
      </c>
      <c r="AN1272" s="246">
        <v>44887</v>
      </c>
      <c r="AO1272" s="100"/>
      <c r="AP1272" s="96"/>
      <c r="AQ1272" s="96"/>
      <c r="AR1272" s="96"/>
      <c r="AS1272" s="96"/>
      <c r="AT1272" s="96"/>
      <c r="AU1272" s="96"/>
      <c r="AV1272" s="96"/>
      <c r="AW1272" s="96"/>
      <c r="AX1272" s="96"/>
      <c r="AY1272" s="96"/>
      <c r="AZ1272" s="96"/>
      <c r="BA1272" s="96"/>
      <c r="BB1272" s="96"/>
      <c r="BC1272" s="96"/>
      <c r="BD1272" s="96"/>
      <c r="BE1272" s="96"/>
    </row>
    <row r="1273" s="97" customFormat="1" customHeight="1" spans="1:57">
      <c r="A1273" s="115" t="s">
        <v>9654</v>
      </c>
      <c r="B1273" s="139" t="s">
        <v>9655</v>
      </c>
      <c r="C1273" s="139" t="s">
        <v>9656</v>
      </c>
      <c r="D1273" s="374" t="s">
        <v>9657</v>
      </c>
      <c r="E1273" s="140" t="s">
        <v>9658</v>
      </c>
      <c r="F1273" s="375">
        <v>3</v>
      </c>
      <c r="G1273" s="376">
        <v>3354</v>
      </c>
      <c r="H1273" s="141">
        <v>19.42</v>
      </c>
      <c r="I1273" s="141" t="s">
        <v>2657</v>
      </c>
      <c r="J1273" s="140" t="s">
        <v>9659</v>
      </c>
      <c r="K1273" s="140">
        <v>19.55</v>
      </c>
      <c r="L1273" s="378" t="s">
        <v>3369</v>
      </c>
      <c r="M1273" s="378" t="s">
        <v>5064</v>
      </c>
      <c r="N1273" s="140" t="s">
        <v>56</v>
      </c>
      <c r="O1273" s="140"/>
      <c r="P1273" s="140"/>
      <c r="Q1273" s="140">
        <v>31713.55</v>
      </c>
      <c r="R1273" s="140">
        <v>615877</v>
      </c>
      <c r="S1273" s="374">
        <v>615877</v>
      </c>
      <c r="T1273" s="388">
        <f t="shared" si="409"/>
        <v>0</v>
      </c>
      <c r="U1273" s="140"/>
      <c r="V1273" s="140">
        <v>1262</v>
      </c>
      <c r="W1273" s="140">
        <v>550</v>
      </c>
      <c r="X1273" s="140"/>
      <c r="Y1273" s="140" t="s">
        <v>2669</v>
      </c>
      <c r="Z1273" s="375" t="s">
        <v>48</v>
      </c>
      <c r="AA1273" s="391">
        <v>44053</v>
      </c>
      <c r="AB1273" s="140"/>
      <c r="AC1273" s="113"/>
      <c r="AD1273" s="122"/>
      <c r="AE1273" s="133"/>
      <c r="AF1273" s="115"/>
      <c r="AG1273" s="133"/>
      <c r="AH1273" s="133"/>
      <c r="AI1273" s="132">
        <f t="shared" si="410"/>
        <v>617689</v>
      </c>
      <c r="AJ1273" s="132">
        <f t="shared" si="411"/>
        <v>617689</v>
      </c>
      <c r="AK1273" s="133">
        <f t="shared" si="412"/>
        <v>0</v>
      </c>
      <c r="AL1273" s="198"/>
      <c r="AM1273" s="133" t="s">
        <v>900</v>
      </c>
      <c r="AN1273" s="246">
        <v>44887</v>
      </c>
      <c r="AO1273" s="100"/>
      <c r="AP1273" s="96"/>
      <c r="AQ1273" s="96"/>
      <c r="AR1273" s="96"/>
      <c r="AS1273" s="96"/>
      <c r="AT1273" s="96"/>
      <c r="AU1273" s="96"/>
      <c r="AV1273" s="96"/>
      <c r="AW1273" s="96"/>
      <c r="AX1273" s="96"/>
      <c r="AY1273" s="96"/>
      <c r="AZ1273" s="96"/>
      <c r="BA1273" s="96"/>
      <c r="BB1273" s="96"/>
      <c r="BC1273" s="96"/>
      <c r="BD1273" s="96"/>
      <c r="BE1273" s="96"/>
    </row>
    <row r="1274" s="97" customFormat="1" customHeight="1" spans="1:57">
      <c r="A1274" s="115" t="s">
        <v>9660</v>
      </c>
      <c r="B1274" s="111" t="s">
        <v>9661</v>
      </c>
      <c r="C1274" s="554" t="s">
        <v>9662</v>
      </c>
      <c r="D1274" s="113" t="s">
        <v>9663</v>
      </c>
      <c r="E1274" s="111" t="s">
        <v>9664</v>
      </c>
      <c r="F1274" s="267">
        <v>4</v>
      </c>
      <c r="G1274" s="268">
        <v>410</v>
      </c>
      <c r="H1274" s="274">
        <v>25.15</v>
      </c>
      <c r="I1274" s="274" t="s">
        <v>2657</v>
      </c>
      <c r="J1274" s="113"/>
      <c r="K1274" s="116"/>
      <c r="L1274" s="266" t="s">
        <v>2659</v>
      </c>
      <c r="M1274" s="266" t="s">
        <v>9665</v>
      </c>
      <c r="N1274" s="113" t="s">
        <v>56</v>
      </c>
      <c r="O1274" s="113"/>
      <c r="P1274" s="113"/>
      <c r="Q1274" s="113">
        <v>25253.37</v>
      </c>
      <c r="R1274" s="113">
        <v>635122</v>
      </c>
      <c r="S1274" s="121">
        <v>635122</v>
      </c>
      <c r="T1274" s="292">
        <f t="shared" si="409"/>
        <v>0</v>
      </c>
      <c r="U1274" s="113"/>
      <c r="V1274" s="113"/>
      <c r="W1274" s="113"/>
      <c r="X1274" s="113"/>
      <c r="Y1274" s="113" t="s">
        <v>2669</v>
      </c>
      <c r="Z1274" s="113"/>
      <c r="AA1274" s="275"/>
      <c r="AB1274" s="113"/>
      <c r="AC1274" s="113"/>
      <c r="AD1274" s="122"/>
      <c r="AE1274" s="133"/>
      <c r="AF1274" s="115"/>
      <c r="AG1274" s="133"/>
      <c r="AH1274" s="133"/>
      <c r="AI1274" s="132">
        <f t="shared" si="410"/>
        <v>635122</v>
      </c>
      <c r="AJ1274" s="132">
        <f t="shared" si="411"/>
        <v>635122</v>
      </c>
      <c r="AK1274" s="133">
        <f t="shared" si="412"/>
        <v>0</v>
      </c>
      <c r="AL1274" s="198"/>
      <c r="AM1274" s="133" t="s">
        <v>886</v>
      </c>
      <c r="AN1274" s="246">
        <v>44888</v>
      </c>
      <c r="AO1274" s="100"/>
      <c r="AP1274" s="96"/>
      <c r="AQ1274" s="96"/>
      <c r="AR1274" s="96"/>
      <c r="AS1274" s="96"/>
      <c r="AT1274" s="96"/>
      <c r="AU1274" s="96"/>
      <c r="AV1274" s="96"/>
      <c r="AW1274" s="96"/>
      <c r="AX1274" s="96"/>
      <c r="AY1274" s="96"/>
      <c r="AZ1274" s="96"/>
      <c r="BA1274" s="96"/>
      <c r="BB1274" s="96"/>
      <c r="BC1274" s="96"/>
      <c r="BD1274" s="96"/>
      <c r="BE1274" s="96"/>
    </row>
    <row r="1275" s="97" customFormat="1" customHeight="1" spans="1:57">
      <c r="A1275" s="115" t="s">
        <v>9666</v>
      </c>
      <c r="B1275" s="111" t="s">
        <v>9667</v>
      </c>
      <c r="C1275" s="554" t="s">
        <v>9668</v>
      </c>
      <c r="D1275" s="113" t="s">
        <v>9669</v>
      </c>
      <c r="E1275" s="111">
        <v>13140027613</v>
      </c>
      <c r="F1275" s="267">
        <v>1</v>
      </c>
      <c r="G1275" s="268">
        <v>1328</v>
      </c>
      <c r="H1275" s="274">
        <v>15.32</v>
      </c>
      <c r="I1275" s="274" t="s">
        <v>2657</v>
      </c>
      <c r="J1275" s="113" t="s">
        <v>9670</v>
      </c>
      <c r="K1275" s="116">
        <v>14.59</v>
      </c>
      <c r="L1275" s="266" t="s">
        <v>2676</v>
      </c>
      <c r="M1275" s="266" t="s">
        <v>3376</v>
      </c>
      <c r="N1275" s="113" t="s">
        <v>66</v>
      </c>
      <c r="O1275" s="113"/>
      <c r="P1275" s="113"/>
      <c r="Q1275" s="113">
        <v>48387.11</v>
      </c>
      <c r="R1275" s="113">
        <v>741291</v>
      </c>
      <c r="S1275" s="121">
        <v>371291</v>
      </c>
      <c r="T1275" s="292">
        <f t="shared" si="409"/>
        <v>370000</v>
      </c>
      <c r="U1275" s="113"/>
      <c r="V1275" s="113">
        <v>995</v>
      </c>
      <c r="W1275" s="113">
        <v>550</v>
      </c>
      <c r="X1275" s="113"/>
      <c r="Y1275" s="113" t="s">
        <v>2669</v>
      </c>
      <c r="Z1275" s="113" t="s">
        <v>48</v>
      </c>
      <c r="AA1275" s="275">
        <v>44184</v>
      </c>
      <c r="AB1275" s="113"/>
      <c r="AC1275" s="113">
        <v>1257</v>
      </c>
      <c r="AD1275" s="122"/>
      <c r="AE1275" s="133"/>
      <c r="AF1275" s="115"/>
      <c r="AG1275" s="133"/>
      <c r="AH1275" s="133"/>
      <c r="AI1275" s="132">
        <f t="shared" si="410"/>
        <v>374093</v>
      </c>
      <c r="AJ1275" s="132">
        <f t="shared" si="411"/>
        <v>372836</v>
      </c>
      <c r="AK1275" s="133">
        <f t="shared" si="412"/>
        <v>1257</v>
      </c>
      <c r="AL1275" s="198"/>
      <c r="AM1275" s="133" t="s">
        <v>886</v>
      </c>
      <c r="AN1275" s="246">
        <v>44888</v>
      </c>
      <c r="AO1275" s="100"/>
      <c r="AP1275" s="96"/>
      <c r="AQ1275" s="96"/>
      <c r="AR1275" s="96"/>
      <c r="AS1275" s="96"/>
      <c r="AT1275" s="96"/>
      <c r="AU1275" s="96"/>
      <c r="AV1275" s="96"/>
      <c r="AW1275" s="96"/>
      <c r="AX1275" s="96"/>
      <c r="AY1275" s="96"/>
      <c r="AZ1275" s="96"/>
      <c r="BA1275" s="96"/>
      <c r="BB1275" s="96"/>
      <c r="BC1275" s="96"/>
      <c r="BD1275" s="96"/>
      <c r="BE1275" s="96"/>
    </row>
    <row r="1276" s="97" customFormat="1" customHeight="1" spans="1:57">
      <c r="A1276" s="115" t="s">
        <v>9671</v>
      </c>
      <c r="B1276" s="111" t="s">
        <v>9672</v>
      </c>
      <c r="C1276" s="111" t="s">
        <v>9673</v>
      </c>
      <c r="D1276" s="113" t="s">
        <v>9674</v>
      </c>
      <c r="E1276" s="111">
        <v>18749770508</v>
      </c>
      <c r="F1276" s="267">
        <v>3</v>
      </c>
      <c r="G1276" s="268">
        <v>3756</v>
      </c>
      <c r="H1276" s="274">
        <v>38.84</v>
      </c>
      <c r="I1276" s="274" t="s">
        <v>2657</v>
      </c>
      <c r="J1276" s="113" t="s">
        <v>9675</v>
      </c>
      <c r="K1276" s="116">
        <v>35.07</v>
      </c>
      <c r="L1276" s="266" t="s">
        <v>4270</v>
      </c>
      <c r="M1276" s="266"/>
      <c r="N1276" s="113" t="s">
        <v>66</v>
      </c>
      <c r="O1276" s="113"/>
      <c r="P1276" s="113"/>
      <c r="Q1276" s="113"/>
      <c r="R1276" s="113"/>
      <c r="S1276" s="121">
        <v>100000</v>
      </c>
      <c r="T1276" s="292">
        <f t="shared" si="409"/>
        <v>-100000</v>
      </c>
      <c r="U1276" s="113"/>
      <c r="V1276" s="113"/>
      <c r="W1276" s="113"/>
      <c r="X1276" s="113"/>
      <c r="Y1276" s="113"/>
      <c r="Z1276" s="113"/>
      <c r="AA1276" s="275"/>
      <c r="AB1276" s="113"/>
      <c r="AC1276" s="113"/>
      <c r="AD1276" s="122"/>
      <c r="AE1276" s="133"/>
      <c r="AF1276" s="115"/>
      <c r="AG1276" s="133"/>
      <c r="AH1276" s="133"/>
      <c r="AI1276" s="132">
        <f t="shared" si="410"/>
        <v>100000</v>
      </c>
      <c r="AJ1276" s="132">
        <f t="shared" si="411"/>
        <v>100000</v>
      </c>
      <c r="AK1276" s="133">
        <f t="shared" si="412"/>
        <v>0</v>
      </c>
      <c r="AL1276" s="198"/>
      <c r="AM1276" s="133" t="s">
        <v>886</v>
      </c>
      <c r="AN1276" s="246">
        <v>44885</v>
      </c>
      <c r="AO1276" s="100"/>
      <c r="AP1276" s="96"/>
      <c r="AQ1276" s="96"/>
      <c r="AR1276" s="96"/>
      <c r="AS1276" s="96"/>
      <c r="AT1276" s="96"/>
      <c r="AU1276" s="96"/>
      <c r="AV1276" s="96"/>
      <c r="AW1276" s="96"/>
      <c r="AX1276" s="96"/>
      <c r="AY1276" s="96"/>
      <c r="AZ1276" s="96"/>
      <c r="BA1276" s="96"/>
      <c r="BB1276" s="96"/>
      <c r="BC1276" s="96"/>
      <c r="BD1276" s="96"/>
      <c r="BE1276" s="96"/>
    </row>
    <row r="1277" s="97" customFormat="1" customHeight="1" spans="1:57">
      <c r="A1277" s="115" t="s">
        <v>9676</v>
      </c>
      <c r="B1277" s="379" t="s">
        <v>9677</v>
      </c>
      <c r="C1277" s="561" t="s">
        <v>9678</v>
      </c>
      <c r="D1277" s="375" t="s">
        <v>9679</v>
      </c>
      <c r="E1277" s="375" t="s">
        <v>9680</v>
      </c>
      <c r="F1277" s="375">
        <v>4</v>
      </c>
      <c r="G1277" s="376">
        <v>4153</v>
      </c>
      <c r="H1277" s="141">
        <v>35.15</v>
      </c>
      <c r="I1277" s="141" t="s">
        <v>2665</v>
      </c>
      <c r="J1277" s="375" t="s">
        <v>9681</v>
      </c>
      <c r="K1277" s="385">
        <v>46.68</v>
      </c>
      <c r="L1277" s="376" t="s">
        <v>2711</v>
      </c>
      <c r="M1277" s="376" t="s">
        <v>3192</v>
      </c>
      <c r="N1277" s="375" t="s">
        <v>66</v>
      </c>
      <c r="O1277" s="375"/>
      <c r="P1277" s="375"/>
      <c r="Q1277" s="141">
        <v>20375.3427592117</v>
      </c>
      <c r="R1277" s="375">
        <v>716193</v>
      </c>
      <c r="S1277" s="388">
        <v>486193</v>
      </c>
      <c r="T1277" s="388">
        <f t="shared" si="409"/>
        <v>230000</v>
      </c>
      <c r="U1277" s="375"/>
      <c r="V1277" s="375">
        <v>2284</v>
      </c>
      <c r="W1277" s="375">
        <v>550</v>
      </c>
      <c r="X1277" s="375"/>
      <c r="Y1277" s="375"/>
      <c r="Z1277" s="375"/>
      <c r="AA1277" s="375"/>
      <c r="AB1277" s="375"/>
      <c r="AC1277" s="113"/>
      <c r="AD1277" s="122"/>
      <c r="AE1277" s="133"/>
      <c r="AF1277" s="115"/>
      <c r="AG1277" s="133"/>
      <c r="AH1277" s="133"/>
      <c r="AI1277" s="132">
        <f t="shared" si="410"/>
        <v>489027</v>
      </c>
      <c r="AJ1277" s="132">
        <f t="shared" si="411"/>
        <v>489027</v>
      </c>
      <c r="AK1277" s="133">
        <f t="shared" si="412"/>
        <v>0</v>
      </c>
      <c r="AL1277" s="198"/>
      <c r="AM1277" s="133" t="s">
        <v>900</v>
      </c>
      <c r="AN1277" s="246">
        <v>44889</v>
      </c>
      <c r="AO1277" s="100"/>
      <c r="AP1277" s="96"/>
      <c r="AQ1277" s="96"/>
      <c r="AR1277" s="96"/>
      <c r="AS1277" s="96"/>
      <c r="AT1277" s="96"/>
      <c r="AU1277" s="96"/>
      <c r="AV1277" s="96"/>
      <c r="AW1277" s="96"/>
      <c r="AX1277" s="96"/>
      <c r="AY1277" s="96"/>
      <c r="AZ1277" s="96"/>
      <c r="BA1277" s="96"/>
      <c r="BB1277" s="96"/>
      <c r="BC1277" s="96"/>
      <c r="BD1277" s="96"/>
      <c r="BE1277" s="96"/>
    </row>
    <row r="1278" s="97" customFormat="1" customHeight="1" spans="1:57">
      <c r="A1278" s="115" t="s">
        <v>9682</v>
      </c>
      <c r="B1278" s="139" t="s">
        <v>9683</v>
      </c>
      <c r="C1278" s="139" t="s">
        <v>9684</v>
      </c>
      <c r="D1278" s="374" t="s">
        <v>9685</v>
      </c>
      <c r="E1278" s="140">
        <v>15981949247</v>
      </c>
      <c r="F1278" s="375">
        <v>3</v>
      </c>
      <c r="G1278" s="376">
        <v>3376</v>
      </c>
      <c r="H1278" s="141">
        <v>13.39</v>
      </c>
      <c r="I1278" s="141" t="s">
        <v>2657</v>
      </c>
      <c r="J1278" s="140" t="s">
        <v>9686</v>
      </c>
      <c r="K1278" s="140">
        <v>12.34</v>
      </c>
      <c r="L1278" s="378" t="s">
        <v>4112</v>
      </c>
      <c r="M1278" s="378" t="s">
        <v>3023</v>
      </c>
      <c r="N1278" s="140" t="s">
        <v>66</v>
      </c>
      <c r="O1278" s="140"/>
      <c r="P1278" s="140"/>
      <c r="Q1278" s="140">
        <v>32253.89</v>
      </c>
      <c r="R1278" s="140">
        <v>398013</v>
      </c>
      <c r="S1278" s="374">
        <v>208013</v>
      </c>
      <c r="T1278" s="388">
        <f t="shared" si="409"/>
        <v>190000</v>
      </c>
      <c r="U1278" s="140"/>
      <c r="V1278" s="140"/>
      <c r="W1278" s="140"/>
      <c r="X1278" s="140"/>
      <c r="Y1278" s="140"/>
      <c r="Z1278" s="140"/>
      <c r="AA1278" s="140"/>
      <c r="AB1278" s="140"/>
      <c r="AC1278" s="113"/>
      <c r="AD1278" s="122"/>
      <c r="AE1278" s="133"/>
      <c r="AF1278" s="115"/>
      <c r="AG1278" s="133"/>
      <c r="AH1278" s="133"/>
      <c r="AI1278" s="132">
        <f t="shared" si="410"/>
        <v>208013</v>
      </c>
      <c r="AJ1278" s="132">
        <f t="shared" si="411"/>
        <v>208013</v>
      </c>
      <c r="AK1278" s="133">
        <f t="shared" si="412"/>
        <v>0</v>
      </c>
      <c r="AL1278" s="198"/>
      <c r="AM1278" s="133" t="s">
        <v>900</v>
      </c>
      <c r="AN1278" s="246">
        <v>44890</v>
      </c>
      <c r="AO1278" s="100"/>
      <c r="AP1278" s="96"/>
      <c r="AQ1278" s="96"/>
      <c r="AR1278" s="96"/>
      <c r="AS1278" s="96"/>
      <c r="AT1278" s="96"/>
      <c r="AU1278" s="96"/>
      <c r="AV1278" s="96"/>
      <c r="AW1278" s="96"/>
      <c r="AX1278" s="96"/>
      <c r="AY1278" s="96"/>
      <c r="AZ1278" s="96"/>
      <c r="BA1278" s="96"/>
      <c r="BB1278" s="96"/>
      <c r="BC1278" s="96"/>
      <c r="BD1278" s="96"/>
      <c r="BE1278" s="96"/>
    </row>
    <row r="1279" s="97" customFormat="1" customHeight="1" spans="1:57">
      <c r="A1279" s="115" t="s">
        <v>9687</v>
      </c>
      <c r="B1279" s="111" t="s">
        <v>9688</v>
      </c>
      <c r="C1279" s="111" t="s">
        <v>9689</v>
      </c>
      <c r="D1279" s="113"/>
      <c r="E1279" s="111">
        <v>13837169390</v>
      </c>
      <c r="F1279" s="267">
        <v>3</v>
      </c>
      <c r="G1279" s="268">
        <v>383</v>
      </c>
      <c r="H1279" s="274">
        <v>22.92</v>
      </c>
      <c r="I1279" s="274" t="s">
        <v>2657</v>
      </c>
      <c r="J1279" s="113" t="s">
        <v>9690</v>
      </c>
      <c r="K1279" s="116">
        <v>20.41</v>
      </c>
      <c r="L1279" s="266" t="s">
        <v>2659</v>
      </c>
      <c r="M1279" s="266"/>
      <c r="N1279" s="113" t="s">
        <v>56</v>
      </c>
      <c r="O1279" s="113"/>
      <c r="P1279" s="113"/>
      <c r="Q1279" s="113"/>
      <c r="R1279" s="113"/>
      <c r="S1279" s="121">
        <v>20000</v>
      </c>
      <c r="T1279" s="292">
        <f t="shared" si="409"/>
        <v>-20000</v>
      </c>
      <c r="U1279" s="113"/>
      <c r="V1279" s="113"/>
      <c r="W1279" s="113"/>
      <c r="X1279" s="113"/>
      <c r="Y1279" s="113"/>
      <c r="Z1279" s="113"/>
      <c r="AA1279" s="275"/>
      <c r="AB1279" s="113" t="s">
        <v>9691</v>
      </c>
      <c r="AC1279" s="113"/>
      <c r="AD1279" s="122"/>
      <c r="AE1279" s="133"/>
      <c r="AF1279" s="115"/>
      <c r="AG1279" s="133"/>
      <c r="AH1279" s="133"/>
      <c r="AI1279" s="132">
        <f t="shared" si="410"/>
        <v>20000</v>
      </c>
      <c r="AJ1279" s="132">
        <f t="shared" si="411"/>
        <v>20000</v>
      </c>
      <c r="AK1279" s="133">
        <f t="shared" si="412"/>
        <v>0</v>
      </c>
      <c r="AL1279" s="198" t="s">
        <v>1940</v>
      </c>
      <c r="AM1279" s="133" t="s">
        <v>900</v>
      </c>
      <c r="AN1279" s="246">
        <v>44887</v>
      </c>
      <c r="AO1279" s="100"/>
      <c r="AP1279" s="96"/>
      <c r="AQ1279" s="96"/>
      <c r="AR1279" s="96"/>
      <c r="AS1279" s="96"/>
      <c r="AT1279" s="96"/>
      <c r="AU1279" s="96"/>
      <c r="AV1279" s="96"/>
      <c r="AW1279" s="96"/>
      <c r="AX1279" s="96"/>
      <c r="AY1279" s="96"/>
      <c r="AZ1279" s="96"/>
      <c r="BA1279" s="96"/>
      <c r="BB1279" s="96"/>
      <c r="BC1279" s="96"/>
      <c r="BD1279" s="96"/>
      <c r="BE1279" s="96"/>
    </row>
    <row r="1280" s="97" customFormat="1" customHeight="1" spans="1:57">
      <c r="A1280" s="337" t="s">
        <v>9692</v>
      </c>
      <c r="B1280" s="380" t="s">
        <v>9693</v>
      </c>
      <c r="C1280" s="562" t="s">
        <v>9694</v>
      </c>
      <c r="D1280" s="381" t="s">
        <v>9695</v>
      </c>
      <c r="E1280" s="380">
        <v>13937134498</v>
      </c>
      <c r="F1280" s="382">
        <v>1</v>
      </c>
      <c r="G1280" s="383">
        <v>1637</v>
      </c>
      <c r="H1280" s="384">
        <v>20.14</v>
      </c>
      <c r="I1280" s="384" t="s">
        <v>2657</v>
      </c>
      <c r="J1280" s="381" t="s">
        <v>9696</v>
      </c>
      <c r="K1280" s="386">
        <v>17.92</v>
      </c>
      <c r="L1280" s="387" t="s">
        <v>3558</v>
      </c>
      <c r="M1280" s="387" t="s">
        <v>3674</v>
      </c>
      <c r="N1280" s="381" t="s">
        <v>66</v>
      </c>
      <c r="O1280" s="381"/>
      <c r="P1280" s="381"/>
      <c r="Q1280" s="381">
        <v>47433.04</v>
      </c>
      <c r="R1280" s="381">
        <v>850000</v>
      </c>
      <c r="S1280" s="389">
        <v>430000</v>
      </c>
      <c r="T1280" s="390">
        <f t="shared" si="409"/>
        <v>420000</v>
      </c>
      <c r="U1280" s="381"/>
      <c r="V1280" s="381"/>
      <c r="W1280" s="381"/>
      <c r="X1280" s="381"/>
      <c r="Y1280" s="381" t="s">
        <v>2669</v>
      </c>
      <c r="Z1280" s="381"/>
      <c r="AA1280" s="393"/>
      <c r="AB1280" s="381"/>
      <c r="AC1280" s="381"/>
      <c r="AD1280" s="394"/>
      <c r="AE1280" s="395"/>
      <c r="AF1280" s="337"/>
      <c r="AG1280" s="395"/>
      <c r="AH1280" s="395"/>
      <c r="AI1280" s="342">
        <f t="shared" si="410"/>
        <v>430000</v>
      </c>
      <c r="AJ1280" s="342">
        <f t="shared" si="411"/>
        <v>430000</v>
      </c>
      <c r="AK1280" s="395">
        <f t="shared" si="412"/>
        <v>0</v>
      </c>
      <c r="AL1280" s="371"/>
      <c r="AM1280" s="395" t="s">
        <v>886</v>
      </c>
      <c r="AN1280" s="396">
        <v>44891</v>
      </c>
      <c r="AO1280" s="100"/>
      <c r="AP1280" s="96"/>
      <c r="AQ1280" s="96"/>
      <c r="AR1280" s="96"/>
      <c r="AS1280" s="96"/>
      <c r="AT1280" s="96"/>
      <c r="AU1280" s="96"/>
      <c r="AV1280" s="96"/>
      <c r="AW1280" s="96"/>
      <c r="AX1280" s="96"/>
      <c r="AY1280" s="96"/>
      <c r="AZ1280" s="96"/>
      <c r="BA1280" s="96"/>
      <c r="BB1280" s="96"/>
      <c r="BC1280" s="96"/>
      <c r="BD1280" s="96"/>
      <c r="BE1280" s="96"/>
    </row>
    <row r="1281" s="97" customFormat="1" customHeight="1" spans="1:57">
      <c r="A1281" s="337" t="s">
        <v>9697</v>
      </c>
      <c r="B1281" s="380" t="s">
        <v>9698</v>
      </c>
      <c r="C1281" s="562" t="s">
        <v>9699</v>
      </c>
      <c r="D1281" s="381" t="s">
        <v>9700</v>
      </c>
      <c r="E1281" s="380">
        <v>15938737007</v>
      </c>
      <c r="F1281" s="382">
        <v>1</v>
      </c>
      <c r="G1281" s="383">
        <v>179</v>
      </c>
      <c r="H1281" s="384">
        <v>22.47</v>
      </c>
      <c r="I1281" s="384" t="s">
        <v>2657</v>
      </c>
      <c r="J1281" s="381" t="s">
        <v>9701</v>
      </c>
      <c r="K1281" s="386">
        <v>28.85</v>
      </c>
      <c r="L1281" s="387" t="s">
        <v>3338</v>
      </c>
      <c r="M1281" s="387" t="s">
        <v>2869</v>
      </c>
      <c r="N1281" s="381" t="s">
        <v>66</v>
      </c>
      <c r="O1281" s="381"/>
      <c r="P1281" s="381"/>
      <c r="Q1281" s="381">
        <v>47267.24</v>
      </c>
      <c r="R1281" s="381">
        <v>1062095</v>
      </c>
      <c r="S1281" s="389">
        <v>692095</v>
      </c>
      <c r="T1281" s="390"/>
      <c r="U1281" s="381">
        <v>370000</v>
      </c>
      <c r="V1281" s="381">
        <v>1460</v>
      </c>
      <c r="W1281" s="381">
        <v>550</v>
      </c>
      <c r="X1281" s="381"/>
      <c r="Y1281" s="381" t="s">
        <v>2669</v>
      </c>
      <c r="Z1281" s="381" t="s">
        <v>48</v>
      </c>
      <c r="AA1281" s="393">
        <v>44024</v>
      </c>
      <c r="AB1281" s="381" t="s">
        <v>9702</v>
      </c>
      <c r="AC1281" s="381"/>
      <c r="AD1281" s="394"/>
      <c r="AE1281" s="395"/>
      <c r="AF1281" s="337"/>
      <c r="AG1281" s="395"/>
      <c r="AH1281" s="395"/>
      <c r="AI1281" s="342">
        <f t="shared" si="410"/>
        <v>1064105</v>
      </c>
      <c r="AJ1281" s="342">
        <f t="shared" si="411"/>
        <v>1064105</v>
      </c>
      <c r="AK1281" s="395">
        <f t="shared" si="412"/>
        <v>0</v>
      </c>
      <c r="AL1281" s="371"/>
      <c r="AM1281" s="395" t="s">
        <v>886</v>
      </c>
      <c r="AN1281" s="396">
        <v>44891</v>
      </c>
      <c r="AO1281" s="100"/>
      <c r="AP1281" s="96"/>
      <c r="AQ1281" s="96"/>
      <c r="AR1281" s="96"/>
      <c r="AS1281" s="96"/>
      <c r="AT1281" s="96"/>
      <c r="AU1281" s="96"/>
      <c r="AV1281" s="96"/>
      <c r="AW1281" s="96"/>
      <c r="AX1281" s="96"/>
      <c r="AY1281" s="96"/>
      <c r="AZ1281" s="96"/>
      <c r="BA1281" s="96"/>
      <c r="BB1281" s="96"/>
      <c r="BC1281" s="96"/>
      <c r="BD1281" s="96"/>
      <c r="BE1281" s="96"/>
    </row>
  </sheetData>
  <autoFilter ref="A1:BE1281">
    <sortState ref="A1:BE1281">
      <sortCondition ref="A1"/>
    </sortState>
    <extLst/>
  </autoFilter>
  <sortState ref="A2:AN1281">
    <sortCondition ref="A2:A1281"/>
  </sortState>
  <dataValidations count="1">
    <dataValidation type="list" allowBlank="1" showInputMessage="1" showErrorMessage="1" sqref="N2 N3 N4 N5 N6 N7 N8 N9 N10 N11 N12 N14 N15 N16 N17 N18 N19 N20 N21 N22 N23 N24 N25 N26 N27 N28 N37 N38 N63 N64 N65 N66 N67 N68 O68 P68 N69 N80 N81 N82 N83 N84 N85 N86 N87 N88 N89 N90 N91 N92 N93 N94 N95 N96 N97 N98 N99 N103 N105 N106 N107 N111 N112 N113 N114 N115 N116 N188 N189 N190 N191 N192 N193 N194 N195 N196 N197 N198 N199 N200 N201 N202 N203 N204 N205 N206 N207 N208 N209 N210 N211 N212 N213 N214 N215 N216 N217 N218 N219 N220 N221 N222 N223 N224 N225 N226 N227 N228 N229 N230 N231 N232 N233 N234 N235 N236 N237 N238 N239 N240 N241 N242 N243 N244 N245 N246 N247 N248 N249 N250 N251 N252 N253 N254 N255 N256 N257 N258 N259 N260 N263 N264 N265 N266 N267 N268 N269 N270 N271 N272 N273 N274 N275 N276 N277 N278 N279 N280 N281 N282 N283 N284 N285 N286 N287 N288 N289 N290 N291 N292 N293 N294 N295 N296 N297 N298 N299 N300 N301 N302 N303 N304 N305 N306 N307 N308 N309 N310 N311 N312 N313 N314 N315 N316 N317 N318 N319 N320 N321 N322 N323 N324 N325 N326 N327 N328 N329 N330 N331 N332 N333 N334 N335 N336 N337 N338 N339 N340 N341 N342 N343 N344 N345 N346 N347 N348 N349 N350 N351 N352 N353 N354 N355 N356 N357 N358 N359 N360 N361 N362 N363 N364 N365 N366 N368 N369 N370 N371 N372 N373 N374 N375 N376 N377 N378 N379 N380 N381 N382 N383 N384 N385 N386 N387 N388 N389 N390 N391 N392 N393 N394 N395 N396 N397 N398 N399 N400 N401 N402 N403 N404 N405 N406 N407 N408 N409 N410 N411 N412 N413 N414 N415 N416 N417 N418 N419 N420 N421 N422 N423 N424 N425 N426 N427 N428 N429 N430 O430 P430 N431 N432 N433 N434 N435 N436 N437 N438 N439 N440 N441 N442 N443 N444 N446 N447 N448 N449 N450 N451 N452 N454 N455 N456 N457 O457 P457 N458 N459 N460 N461 N462 N463 N464 N465 N466 N467 N468 N469 N470 N471 N472 N510 N511 N512 N513 N514 N515 N517 N518 N519 N520 N521 N522 N523 N524 N525 N526 N527 N528 N529 N530 N531 N532 N533 N534 N535 N536 N576 N577 N578 N579 N580 N581 N582 N583 N584 N585 N586 N587 N588 N589 N590 N591 N592 N593 N594 N595 N596 N597 N598 N599 N600 N601 N602 N603 N604 N605 N606 N607 N608 N609 N610 N611 N612 N613 N614 N615 N616 N617 N618 N619 N620 N621 N622 N623 N624 N625 N626 N627 N628 N629 N630 N631 N632 N633 N634 N635 N636 N637 N638 N639 N640 O640 P640 N641 N642 N643 N644 N645 N646 N647 N648 N649 N650 N651 N652 N653 N654 N655 N656 N657 N658 O658 P658 N659 N660 N661 N662 N663 N664 N665 N666 N667 N668 N669 N670 N671 N672 N673 N674 N675 N676 N677 N678 N679 N680 N681 N684 N685 N686 N687 N688 N689 N690 N691 N692 N693 N694 N695 N696 N697 N698 N699 N700 N701 N702 N703 N704 N705 N706 N707 N708 N709 N710 N711 N712 N713 N714 N715 N716 N717 N718 N719 N720 N721 N722 N723 N724 N725 N726 N727 N728 N729 N730 N731 N732 O732 P732 N733 N734 N735 N736 N737 N738 N739 N740 N741 N742 N743 N744 N745 N746 N747 N748 N749 N750 N751 N752 N753 N754 N755 N756 N757 N758 N759 N760 N761 N762 N763 N764 N765 N766 N767 N768 N769 N770 O770 P770 N771 N772 N773 N774 N775 O775 P775 N776 N777 N778 N779 N780 N781 N782 N783 N784 N785 N786 N787 N788 N789 N790 N791 N792 N793 N794 N795 N796 N797 N798 N799 N800 N801 N802 N803 N804 N805 N806 N807 N808 N809 N810 N811 N812 N813 N814 N815 N816 N817 N818 O818 P818 N819 N820 N821 N822 N823 N824 N825 N826 N827 N828 N829 N830 N831 N832 N833 N834 N835 N836 N837 N838 N839 N840 N841 N842 N843 N844 N845 N846 N847 N848 N849 N850 N851 N852 N853 N854 N855 N856 N857 N858 N859 N860 N861 N862 N863 N864 N865 N866 N867 N868 O868 P868 N869 N870 N871 N872 N873 N874 N875 N876 N877 N878 N879 N880 N881 N882 N883 N884 N885 N886 N887 N888 N889 N890 N891 N892 N893 N894 N895 N896 N897 N898 N899 N900 N901 N902 N905 N906 N907 N908 N909 N910 N911 N912 N913 N914 N915 N916 N917 N918 N919 N920 N921 N922 N923 N924 N925 N926 N927 N928 N929 N930 N931 N932 N933 N934 N935 N936 N937 N938 N939 N940 N941 N942 N943 N944 N945 N946 N947 N948 N949 N950 N951 N952 N953 N954 N955 N956 N957 N958 N959 N960 N961 N962 N963 O963 P963 N964 N965 N966 N967 N968 N969 N970 N971 N972 N973 N974 N975 N976 N977 N978 N979 N980 N981 N982 N983 N984 N985 N986 N987 N988 N989 N990 N991 N992 N993 N994 N995 N996 N997 N998 N999 N1000 N1001 N1002 N1003 N1004 N1005 N1006 N1007 N1008 N1009 N1010 N1011 N1012 N1013 N1014 N1015 N1016 N1017 N1018 N1019 N1020 N1021 N1022 N1023 N1024 N1025 N1026 N1027 N1028 N1029 N1030 N1031 N1035 N1036 N1037 N1038 N1039 N1040 N1041 N1042 N1043 N1044 N1045 N1046 N1047 N1048 N1049 N1050 N1051 N1052 N1053 N1054 N1055 N1056 N1057 N1058 N1059 N1060 N1061 N1062 N1063 N1064 N1065 N1066 N1067 N1068 N1069 N1070 N1071 N1072 N1073 N1074 N1075 N1076 N1077 N1078 N1079 N1080 N1081 N1082 N1083 N1084 N1085 N1086 N1087 N1088 N1089 N1090 N1091 N1092 N1093 N1094 N1095 N1096 N1097 N1098 N1099 N1100 N1101 N1102 N1103 N1104 N1105 N1106 N1107 N1108 N1109 N1110 N1111 N1112 N1113 N1114 N1115 N1116 N1117 N1118 N1119 N1120 N1121 N1122 N1123 N1124 N1125 N1126 N1127 N1128 N1129 N1130 N1131 N1132 N1133 N1134 N1135 N1136 N1137 N1138 N1139 N1140 N1141 N1142 N1143 N1144 N1145 N1146 N1147 N1148 N1149 N1150 N1151 N1152 N1153 N1154 N1155 N1156 N1157 N1158 N1159 N1160 N1161 N1164 N1165 N1166 N1167 N1168 N1169 N1170 N1171 N1172 N1173 N1174 N1175 N1176 N1177 N1178 N1179 N1180 N1181 N1182 N1183 N1184 N1185 N1186 N1187 N1188 N1189 N1190 N1191 N1192 N1193 N1194 N1195 N1196 N1197 N1198 N1202 N1203 N1204 N1205 N1206 N1207 N1210 N1211 N1212 N1213 N1214 N1215 N1216 N1217 N1218 N1219 N1220 N1221 N1222 N1223 N1224 N1225 N1226 N1227 O1227 P1227 N1228 N1229 N1230 N1231 N1232 N1233 N1234 N1235 N1236 N1237 N1238 N1239 N1240 N1241 N1242 N1243 N1244 N1247 N1248 N1249 N1250 N1251 N1252 N1253 N1254 N1255 N1256 N1257 N1258 N1259 N1260 N1261 N1262 N1263 N1264 N1265 N1266 N1267 N1268 N1269 N1270 N1271 N1272 N1273 N1274 N1275 N1276 N1277 N1278 N1279 N1280 N1281 N61:N62 N76:N79 N261:N262 N682:N683 N903:N904 N1162:N1163 N1199:N1201 N1208:N1209 N1245:N1246">
      <formula1>"一次性,按揭"</formula1>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5"/>
  <sheetViews>
    <sheetView workbookViewId="0">
      <pane xSplit="2" ySplit="1" topLeftCell="C2" activePane="bottomRight" state="frozen"/>
      <selection/>
      <selection pane="topRight"/>
      <selection pane="bottomLeft"/>
      <selection pane="bottomRight" activeCell="D2" sqref="D2:D713"/>
    </sheetView>
  </sheetViews>
  <sheetFormatPr defaultColWidth="8.72727272727273" defaultRowHeight="18" customHeight="1"/>
  <cols>
    <col min="1" max="1" width="8.81818181818182" style="98" customWidth="1"/>
    <col min="2" max="2" width="11.7545454545455" style="98" customWidth="1"/>
    <col min="3" max="3" width="10.9090909090909" style="96" customWidth="1"/>
    <col min="4" max="4" width="12.8181818181818" style="96" customWidth="1"/>
    <col min="5" max="5" width="4.27272727272727" style="96" customWidth="1"/>
    <col min="6" max="8" width="5.18181818181818" style="96" customWidth="1"/>
    <col min="9" max="9" width="7" style="96" customWidth="1"/>
    <col min="10" max="11" width="8.81818181818182" style="96" customWidth="1"/>
    <col min="12" max="12" width="5.18181818181818" style="96" customWidth="1"/>
    <col min="13" max="13" width="7" style="96" customWidth="1"/>
    <col min="14" max="14" width="9.72727272727273" style="96" customWidth="1"/>
    <col min="15" max="15" width="11" style="96" customWidth="1"/>
    <col min="16" max="16" width="10.6363636363636" style="96" customWidth="1"/>
    <col min="17" max="17" width="11" style="96" customWidth="1"/>
    <col min="18" max="21" width="8.72727272727273" style="96"/>
    <col min="22" max="22" width="10.8181818181818" style="96"/>
    <col min="23" max="23" width="11.7272727272727" style="102" customWidth="1"/>
    <col min="24" max="26" width="8.72727272727273" style="96"/>
    <col min="27" max="28" width="12.3636363636364" style="101" customWidth="1"/>
    <col min="29" max="30" width="13.7272727272727" style="101"/>
    <col min="31" max="31" width="7" style="100" customWidth="1"/>
    <col min="32" max="32" width="10" style="102" customWidth="1"/>
    <col min="33" max="34" width="4.81818181818182" style="101" customWidth="1"/>
    <col min="35" max="35" width="6.36363636363636" style="96" customWidth="1"/>
    <col min="36" max="36" width="12.8181818181818" style="96"/>
    <col min="37" max="37" width="6.18181818181818" style="96" customWidth="1"/>
    <col min="38" max="38" width="9.55454545454545" style="96"/>
    <col min="39" max="16384" width="8.72727272727273" style="96"/>
  </cols>
  <sheetData>
    <row r="1" s="146" customFormat="1" customHeight="1" spans="1:40">
      <c r="A1" s="150" t="s">
        <v>0</v>
      </c>
      <c r="B1" s="235" t="s">
        <v>1</v>
      </c>
      <c r="C1" s="236" t="s">
        <v>2</v>
      </c>
      <c r="D1" s="236" t="s">
        <v>3</v>
      </c>
      <c r="E1" s="237" t="s">
        <v>4</v>
      </c>
      <c r="F1" s="235" t="s">
        <v>9703</v>
      </c>
      <c r="G1" s="235" t="s">
        <v>9704</v>
      </c>
      <c r="H1" s="235" t="s">
        <v>9705</v>
      </c>
      <c r="I1" s="235" t="s">
        <v>9706</v>
      </c>
      <c r="J1" s="235" t="s">
        <v>11</v>
      </c>
      <c r="K1" s="235" t="s">
        <v>12</v>
      </c>
      <c r="L1" s="235" t="s">
        <v>9707</v>
      </c>
      <c r="M1" s="235" t="s">
        <v>9708</v>
      </c>
      <c r="N1" s="240" t="s">
        <v>2640</v>
      </c>
      <c r="O1" s="240" t="s">
        <v>9709</v>
      </c>
      <c r="P1" s="241" t="s">
        <v>16</v>
      </c>
      <c r="Q1" s="243" t="s">
        <v>18</v>
      </c>
      <c r="R1" s="241" t="s">
        <v>20</v>
      </c>
      <c r="S1" s="241" t="s">
        <v>21</v>
      </c>
      <c r="T1" s="241" t="s">
        <v>22</v>
      </c>
      <c r="U1" s="240" t="s">
        <v>9710</v>
      </c>
      <c r="V1" s="244" t="s">
        <v>2650</v>
      </c>
      <c r="W1" s="184" t="s">
        <v>31</v>
      </c>
      <c r="X1" s="150" t="s">
        <v>29</v>
      </c>
      <c r="Y1" s="47" t="s">
        <v>2651</v>
      </c>
      <c r="Z1" s="47" t="s">
        <v>2652</v>
      </c>
      <c r="AA1" s="126" t="s">
        <v>33</v>
      </c>
      <c r="AB1" s="126" t="s">
        <v>34</v>
      </c>
      <c r="AC1" s="150" t="s">
        <v>35</v>
      </c>
      <c r="AD1" s="150" t="s">
        <v>36</v>
      </c>
      <c r="AE1" s="150" t="s">
        <v>37</v>
      </c>
      <c r="AF1" s="184" t="s">
        <v>38</v>
      </c>
      <c r="AG1" s="248"/>
      <c r="AH1" s="248"/>
      <c r="AI1" s="249" t="s">
        <v>39</v>
      </c>
      <c r="AJ1" s="249">
        <f>SUM(AA:AA)</f>
        <v>22166987.05</v>
      </c>
      <c r="AK1" s="249" t="s">
        <v>40</v>
      </c>
      <c r="AL1" s="250">
        <f>SUM(AB:AB)</f>
        <v>21668964</v>
      </c>
      <c r="AM1" s="146" t="s">
        <v>41</v>
      </c>
      <c r="AN1" s="146">
        <f>COUNTA(A:A)-1</f>
        <v>9</v>
      </c>
    </row>
    <row r="2" s="96" customFormat="1" customHeight="1" spans="1:38">
      <c r="A2" s="115" t="s">
        <v>9711</v>
      </c>
      <c r="B2" s="238" t="s">
        <v>9712</v>
      </c>
      <c r="C2" s="156" t="s">
        <v>9713</v>
      </c>
      <c r="D2" s="239">
        <v>15038277767</v>
      </c>
      <c r="E2" s="166"/>
      <c r="F2" s="115">
        <v>9</v>
      </c>
      <c r="G2" s="115">
        <v>109</v>
      </c>
      <c r="H2" s="115" t="s">
        <v>9714</v>
      </c>
      <c r="I2" s="115">
        <v>97.43</v>
      </c>
      <c r="J2" s="115"/>
      <c r="K2" s="115"/>
      <c r="L2" s="115"/>
      <c r="M2" s="115"/>
      <c r="N2" s="242">
        <f>O2/I2</f>
        <v>37999.6305039516</v>
      </c>
      <c r="O2" s="115">
        <v>3702304</v>
      </c>
      <c r="P2" s="115">
        <v>3702304</v>
      </c>
      <c r="Q2" s="115">
        <v>0</v>
      </c>
      <c r="R2" s="115"/>
      <c r="S2" s="115">
        <v>6332</v>
      </c>
      <c r="T2" s="115">
        <v>550</v>
      </c>
      <c r="U2" s="115" t="s">
        <v>48</v>
      </c>
      <c r="V2" s="115"/>
      <c r="W2" s="245"/>
      <c r="X2" s="181"/>
      <c r="Y2" s="181"/>
      <c r="Z2" s="181"/>
      <c r="AA2" s="134">
        <f t="shared" ref="AA2:AA7" si="0">P2+S2+T2+R2+V2</f>
        <v>3709186</v>
      </c>
      <c r="AB2" s="134">
        <f>P2+R2+S2+T2</f>
        <v>3709186</v>
      </c>
      <c r="AC2" s="134">
        <f t="shared" ref="AC2:AC9" si="1">AA2-AB2</f>
        <v>0</v>
      </c>
      <c r="AD2" s="134"/>
      <c r="AE2" s="133"/>
      <c r="AF2" s="245">
        <v>44841</v>
      </c>
      <c r="AG2" s="251"/>
      <c r="AH2" s="251"/>
      <c r="AI2" s="252"/>
      <c r="AJ2" s="252"/>
      <c r="AK2" s="252"/>
      <c r="AL2" s="252"/>
    </row>
    <row r="3" s="96" customFormat="1" customHeight="1" spans="1:38">
      <c r="A3" s="115" t="s">
        <v>9715</v>
      </c>
      <c r="B3" s="238" t="s">
        <v>9716</v>
      </c>
      <c r="C3" s="156"/>
      <c r="D3" s="239"/>
      <c r="E3" s="166"/>
      <c r="F3" s="115">
        <v>10</v>
      </c>
      <c r="G3" s="115">
        <v>117</v>
      </c>
      <c r="H3" s="115" t="s">
        <v>9717</v>
      </c>
      <c r="I3" s="115">
        <v>110.19</v>
      </c>
      <c r="J3" s="115"/>
      <c r="K3" s="115"/>
      <c r="L3" s="115"/>
      <c r="M3" s="115"/>
      <c r="N3" s="242">
        <v>31000</v>
      </c>
      <c r="O3" s="115">
        <v>3415890</v>
      </c>
      <c r="P3" s="115">
        <v>1715890</v>
      </c>
      <c r="Q3" s="115">
        <f t="shared" ref="Q3:Q8" si="2">O3-P3</f>
        <v>1700000</v>
      </c>
      <c r="R3" s="115"/>
      <c r="S3" s="115">
        <v>7162</v>
      </c>
      <c r="T3" s="115">
        <v>550</v>
      </c>
      <c r="U3" s="115"/>
      <c r="V3" s="115"/>
      <c r="W3" s="245">
        <v>43296</v>
      </c>
      <c r="X3" s="181" t="s">
        <v>560</v>
      </c>
      <c r="Y3" s="181"/>
      <c r="Z3" s="181"/>
      <c r="AA3" s="134">
        <f t="shared" si="0"/>
        <v>1723602</v>
      </c>
      <c r="AB3" s="134">
        <f>AA3</f>
        <v>1723602</v>
      </c>
      <c r="AC3" s="134">
        <f t="shared" si="1"/>
        <v>0</v>
      </c>
      <c r="AD3" s="134"/>
      <c r="AE3" s="133"/>
      <c r="AF3" s="245">
        <v>44841</v>
      </c>
      <c r="AG3" s="251"/>
      <c r="AH3" s="251"/>
      <c r="AI3" s="252"/>
      <c r="AJ3" s="252"/>
      <c r="AK3" s="252"/>
      <c r="AL3" s="252"/>
    </row>
    <row r="4" s="96" customFormat="1" customHeight="1" spans="1:38">
      <c r="A4" s="115" t="s">
        <v>9718</v>
      </c>
      <c r="B4" s="238" t="s">
        <v>1055</v>
      </c>
      <c r="C4" s="156" t="s">
        <v>1056</v>
      </c>
      <c r="D4" s="239" t="s">
        <v>9719</v>
      </c>
      <c r="E4" s="166" t="s">
        <v>9720</v>
      </c>
      <c r="F4" s="115">
        <v>9</v>
      </c>
      <c r="G4" s="115">
        <v>105</v>
      </c>
      <c r="H4" s="115" t="s">
        <v>9714</v>
      </c>
      <c r="I4" s="115">
        <v>99.03</v>
      </c>
      <c r="J4" s="115"/>
      <c r="K4" s="115"/>
      <c r="L4" s="115"/>
      <c r="M4" s="115"/>
      <c r="N4" s="242">
        <v>40000</v>
      </c>
      <c r="O4" s="115">
        <v>3961200</v>
      </c>
      <c r="P4" s="115">
        <v>1981200</v>
      </c>
      <c r="Q4" s="115">
        <v>1980000</v>
      </c>
      <c r="R4" s="115"/>
      <c r="S4" s="115"/>
      <c r="T4" s="115"/>
      <c r="U4" s="115"/>
      <c r="V4" s="115"/>
      <c r="W4" s="245">
        <v>43403</v>
      </c>
      <c r="X4" s="181"/>
      <c r="Y4" s="181"/>
      <c r="Z4" s="181"/>
      <c r="AA4" s="134">
        <f t="shared" si="0"/>
        <v>1981200</v>
      </c>
      <c r="AB4" s="134">
        <f t="shared" ref="AB4:AB10" si="3">P4+R4+S4+T4</f>
        <v>1981200</v>
      </c>
      <c r="AC4" s="134">
        <f t="shared" si="1"/>
        <v>0</v>
      </c>
      <c r="AD4" s="134"/>
      <c r="AE4" s="133" t="s">
        <v>854</v>
      </c>
      <c r="AF4" s="245">
        <v>44843</v>
      </c>
      <c r="AG4" s="251"/>
      <c r="AH4" s="251"/>
      <c r="AI4" s="252"/>
      <c r="AJ4" s="252"/>
      <c r="AK4" s="252"/>
      <c r="AL4" s="252"/>
    </row>
    <row r="5" s="96" customFormat="1" customHeight="1" spans="1:38">
      <c r="A5" s="115" t="s">
        <v>9721</v>
      </c>
      <c r="B5" s="238" t="s">
        <v>1121</v>
      </c>
      <c r="C5" s="156" t="s">
        <v>1122</v>
      </c>
      <c r="D5" s="239" t="s">
        <v>9722</v>
      </c>
      <c r="E5" s="166"/>
      <c r="F5" s="115">
        <v>9</v>
      </c>
      <c r="G5" s="115">
        <v>101</v>
      </c>
      <c r="H5" s="115" t="s">
        <v>9714</v>
      </c>
      <c r="I5" s="115">
        <v>99.03</v>
      </c>
      <c r="J5" s="115"/>
      <c r="K5" s="115"/>
      <c r="L5" s="115"/>
      <c r="M5" s="115"/>
      <c r="N5" s="242">
        <v>40500</v>
      </c>
      <c r="O5" s="115">
        <f t="shared" ref="O5:O10" si="4">N5*I5</f>
        <v>4010715</v>
      </c>
      <c r="P5" s="115">
        <v>3312900</v>
      </c>
      <c r="Q5" s="115">
        <f t="shared" si="2"/>
        <v>697815</v>
      </c>
      <c r="R5" s="115"/>
      <c r="S5" s="115"/>
      <c r="T5" s="115"/>
      <c r="U5" s="115"/>
      <c r="V5" s="115"/>
      <c r="W5" s="245">
        <v>42862</v>
      </c>
      <c r="X5" s="181"/>
      <c r="Y5" s="181"/>
      <c r="Z5" s="181"/>
      <c r="AA5" s="134">
        <f t="shared" si="0"/>
        <v>3312900</v>
      </c>
      <c r="AB5" s="134">
        <f t="shared" si="3"/>
        <v>3312900</v>
      </c>
      <c r="AC5" s="134">
        <f t="shared" si="1"/>
        <v>0</v>
      </c>
      <c r="AD5" s="134"/>
      <c r="AE5" s="133" t="s">
        <v>974</v>
      </c>
      <c r="AF5" s="245">
        <v>44844</v>
      </c>
      <c r="AG5" s="251"/>
      <c r="AH5" s="251"/>
      <c r="AI5" s="252"/>
      <c r="AJ5" s="252"/>
      <c r="AK5" s="252"/>
      <c r="AL5" s="252"/>
    </row>
    <row r="6" s="96" customFormat="1" customHeight="1" spans="1:38">
      <c r="A6" s="115" t="s">
        <v>9723</v>
      </c>
      <c r="B6" s="238" t="s">
        <v>9724</v>
      </c>
      <c r="C6" s="563" t="s">
        <v>9725</v>
      </c>
      <c r="D6" s="239">
        <v>13523984666</v>
      </c>
      <c r="E6" s="166"/>
      <c r="F6" s="115">
        <v>2</v>
      </c>
      <c r="G6" s="156" t="s">
        <v>9726</v>
      </c>
      <c r="H6" s="115" t="s">
        <v>9714</v>
      </c>
      <c r="I6" s="115">
        <v>19.34</v>
      </c>
      <c r="J6" s="115"/>
      <c r="K6" s="115"/>
      <c r="L6" s="115"/>
      <c r="M6" s="115"/>
      <c r="N6" s="242">
        <v>45600</v>
      </c>
      <c r="O6" s="115">
        <v>881904</v>
      </c>
      <c r="P6" s="115">
        <v>705523</v>
      </c>
      <c r="Q6" s="115"/>
      <c r="R6" s="115"/>
      <c r="S6" s="115"/>
      <c r="T6" s="115"/>
      <c r="U6" s="115"/>
      <c r="V6" s="115">
        <f>210810.27+192546+94666.78</f>
        <v>498023.05</v>
      </c>
      <c r="W6" s="245">
        <v>42752</v>
      </c>
      <c r="X6" s="181"/>
      <c r="Y6" s="181"/>
      <c r="Z6" s="181"/>
      <c r="AA6" s="134">
        <f t="shared" si="0"/>
        <v>1203546.05</v>
      </c>
      <c r="AB6" s="134">
        <f>P6</f>
        <v>705523</v>
      </c>
      <c r="AC6" s="134">
        <f t="shared" si="1"/>
        <v>498023.05</v>
      </c>
      <c r="AD6" s="134" t="s">
        <v>9727</v>
      </c>
      <c r="AE6" s="133" t="s">
        <v>974</v>
      </c>
      <c r="AF6" s="245">
        <v>44845</v>
      </c>
      <c r="AG6" s="251"/>
      <c r="AH6" s="251"/>
      <c r="AI6" s="252"/>
      <c r="AJ6" s="252"/>
      <c r="AK6" s="252"/>
      <c r="AL6" s="252"/>
    </row>
    <row r="7" s="96" customFormat="1" customHeight="1" spans="1:38">
      <c r="A7" s="115" t="s">
        <v>9728</v>
      </c>
      <c r="B7" s="238" t="s">
        <v>9729</v>
      </c>
      <c r="C7" s="156"/>
      <c r="D7" s="239">
        <v>13949021324</v>
      </c>
      <c r="E7" s="166"/>
      <c r="F7" s="115">
        <v>9</v>
      </c>
      <c r="G7" s="115">
        <v>106</v>
      </c>
      <c r="H7" s="115" t="s">
        <v>9717</v>
      </c>
      <c r="I7" s="115">
        <v>302.93</v>
      </c>
      <c r="J7" s="115"/>
      <c r="K7" s="115"/>
      <c r="L7" s="115"/>
      <c r="M7" s="115"/>
      <c r="N7" s="242">
        <v>27082.39</v>
      </c>
      <c r="O7" s="115">
        <v>8204069</v>
      </c>
      <c r="P7" s="115">
        <v>8204069</v>
      </c>
      <c r="Q7" s="115">
        <f t="shared" si="2"/>
        <v>0</v>
      </c>
      <c r="R7" s="115"/>
      <c r="S7" s="115">
        <v>19690</v>
      </c>
      <c r="T7" s="115">
        <v>550</v>
      </c>
      <c r="U7" s="115" t="s">
        <v>48</v>
      </c>
      <c r="V7" s="115"/>
      <c r="W7" s="245">
        <v>43293</v>
      </c>
      <c r="X7" s="181"/>
      <c r="Y7" s="181"/>
      <c r="Z7" s="181"/>
      <c r="AA7" s="134">
        <f t="shared" si="0"/>
        <v>8224309</v>
      </c>
      <c r="AB7" s="134">
        <f t="shared" si="3"/>
        <v>8224309</v>
      </c>
      <c r="AC7" s="134">
        <f t="shared" si="1"/>
        <v>0</v>
      </c>
      <c r="AD7" s="134"/>
      <c r="AE7" s="133" t="s">
        <v>886</v>
      </c>
      <c r="AF7" s="245">
        <v>44846</v>
      </c>
      <c r="AG7" s="251"/>
      <c r="AH7" s="251"/>
      <c r="AI7" s="252"/>
      <c r="AJ7" s="252"/>
      <c r="AK7" s="252"/>
      <c r="AL7" s="252"/>
    </row>
    <row r="8" s="96" customFormat="1" customHeight="1" spans="1:38">
      <c r="A8" s="115" t="s">
        <v>9730</v>
      </c>
      <c r="B8" s="238" t="s">
        <v>9731</v>
      </c>
      <c r="C8" s="156" t="s">
        <v>9732</v>
      </c>
      <c r="D8" s="239">
        <v>15737695038</v>
      </c>
      <c r="E8" s="166"/>
      <c r="F8" s="115">
        <v>9</v>
      </c>
      <c r="G8" s="115">
        <v>107</v>
      </c>
      <c r="H8" s="115" t="s">
        <v>9717</v>
      </c>
      <c r="I8" s="115">
        <v>293.4</v>
      </c>
      <c r="J8" s="115"/>
      <c r="K8" s="115"/>
      <c r="L8" s="115"/>
      <c r="M8" s="115"/>
      <c r="N8" s="242">
        <v>45000</v>
      </c>
      <c r="O8" s="115">
        <f t="shared" si="4"/>
        <v>13203000</v>
      </c>
      <c r="P8" s="115">
        <v>1010500</v>
      </c>
      <c r="Q8" s="115">
        <f t="shared" si="2"/>
        <v>12192500</v>
      </c>
      <c r="R8" s="115"/>
      <c r="S8" s="115"/>
      <c r="T8" s="115"/>
      <c r="U8" s="115"/>
      <c r="V8" s="115"/>
      <c r="W8" s="245"/>
      <c r="X8" s="181"/>
      <c r="Y8" s="181"/>
      <c r="Z8" s="181"/>
      <c r="AA8" s="134">
        <f t="shared" ref="AA8:AA10" si="5">P8+S8+T8+R8</f>
        <v>1010500</v>
      </c>
      <c r="AB8" s="134">
        <f t="shared" si="3"/>
        <v>1010500</v>
      </c>
      <c r="AC8" s="134">
        <f t="shared" si="1"/>
        <v>0</v>
      </c>
      <c r="AD8" s="134"/>
      <c r="AE8" s="133" t="s">
        <v>900</v>
      </c>
      <c r="AF8" s="245">
        <v>44865</v>
      </c>
      <c r="AG8" s="251"/>
      <c r="AH8" s="251"/>
      <c r="AI8" s="252"/>
      <c r="AJ8" s="252"/>
      <c r="AK8" s="252"/>
      <c r="AL8" s="252"/>
    </row>
    <row r="9" s="96" customFormat="1" customHeight="1" spans="1:38">
      <c r="A9" s="115" t="s">
        <v>9733</v>
      </c>
      <c r="B9" s="238" t="s">
        <v>9734</v>
      </c>
      <c r="C9" s="156" t="s">
        <v>9735</v>
      </c>
      <c r="D9" s="239">
        <v>13673686367</v>
      </c>
      <c r="E9" s="166"/>
      <c r="F9" s="115">
        <v>9</v>
      </c>
      <c r="G9" s="115">
        <v>111</v>
      </c>
      <c r="H9" s="115" t="s">
        <v>9717</v>
      </c>
      <c r="I9" s="115">
        <v>237.91</v>
      </c>
      <c r="J9" s="115"/>
      <c r="K9" s="115"/>
      <c r="L9" s="115"/>
      <c r="M9" s="115"/>
      <c r="N9" s="242"/>
      <c r="O9" s="115"/>
      <c r="P9" s="115">
        <v>320000</v>
      </c>
      <c r="Q9" s="115"/>
      <c r="R9" s="115"/>
      <c r="S9" s="115"/>
      <c r="T9" s="115"/>
      <c r="U9" s="115"/>
      <c r="V9" s="115"/>
      <c r="W9" s="245">
        <v>42838</v>
      </c>
      <c r="X9" s="181"/>
      <c r="Y9" s="181"/>
      <c r="Z9" s="181">
        <v>300000</v>
      </c>
      <c r="AA9" s="134">
        <f t="shared" si="5"/>
        <v>320000</v>
      </c>
      <c r="AB9" s="134">
        <f t="shared" si="3"/>
        <v>320000</v>
      </c>
      <c r="AC9" s="134">
        <f t="shared" si="1"/>
        <v>0</v>
      </c>
      <c r="AD9" s="134" t="s">
        <v>9736</v>
      </c>
      <c r="AE9" s="133" t="s">
        <v>900</v>
      </c>
      <c r="AF9" s="245">
        <v>44868</v>
      </c>
      <c r="AG9" s="251"/>
      <c r="AH9" s="251"/>
      <c r="AI9" s="252"/>
      <c r="AJ9" s="252"/>
      <c r="AK9" s="252"/>
      <c r="AL9" s="252"/>
    </row>
    <row r="10" s="96" customFormat="1" ht="52" spans="1:35">
      <c r="A10" s="115" t="s">
        <v>9737</v>
      </c>
      <c r="B10" s="181" t="s">
        <v>9738</v>
      </c>
      <c r="C10" s="564" t="s">
        <v>9739</v>
      </c>
      <c r="D10" s="181">
        <v>18638525022</v>
      </c>
      <c r="E10" s="181"/>
      <c r="F10" s="115"/>
      <c r="G10" s="181">
        <v>129</v>
      </c>
      <c r="H10" s="181" t="s">
        <v>9740</v>
      </c>
      <c r="I10" s="181">
        <v>40.58</v>
      </c>
      <c r="J10" s="181"/>
      <c r="K10" s="181"/>
      <c r="L10" s="181"/>
      <c r="M10" s="181"/>
      <c r="N10" s="181">
        <v>24000</v>
      </c>
      <c r="O10" s="181">
        <f t="shared" si="4"/>
        <v>973920</v>
      </c>
      <c r="P10" s="181">
        <v>681744</v>
      </c>
      <c r="Q10" s="181"/>
      <c r="R10" s="181"/>
      <c r="S10" s="181"/>
      <c r="T10" s="181"/>
      <c r="U10" s="181"/>
      <c r="V10" s="181"/>
      <c r="W10" s="245">
        <v>43444</v>
      </c>
      <c r="X10" s="181"/>
      <c r="Y10" s="246"/>
      <c r="Z10" s="246"/>
      <c r="AA10" s="134">
        <f t="shared" si="5"/>
        <v>681744</v>
      </c>
      <c r="AB10" s="134">
        <f t="shared" si="3"/>
        <v>681744</v>
      </c>
      <c r="AC10" s="133"/>
      <c r="AD10" s="198" t="s">
        <v>9741</v>
      </c>
      <c r="AE10" s="181" t="s">
        <v>974</v>
      </c>
      <c r="AF10" s="247">
        <v>44886</v>
      </c>
      <c r="AG10" s="100"/>
      <c r="AH10" s="100"/>
      <c r="AI10" s="149"/>
    </row>
    <row r="45" customHeight="1" spans="2:2">
      <c r="B45" s="98" t="s">
        <v>205</v>
      </c>
    </row>
  </sheetData>
  <autoFilter ref="A1:AL10">
    <sortState ref="A1:AL10">
      <sortCondition ref="A1"/>
    </sortState>
    <extLst/>
  </autoFilter>
  <sortState ref="A2:AF9">
    <sortCondition ref="A2:A9"/>
  </sortState>
  <pageMargins left="0.75" right="0.75" top="1" bottom="1" header="0.5" footer="0.5"/>
  <pageSetup paperSize="9" orientation="portrait"/>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33"/>
  <sheetViews>
    <sheetView workbookViewId="0">
      <pane xSplit="3" ySplit="2" topLeftCell="N3" activePane="bottomRight" state="frozen"/>
      <selection/>
      <selection pane="topRight"/>
      <selection pane="bottomLeft"/>
      <selection pane="bottomRight" activeCell="D2" sqref="D2:D713"/>
    </sheetView>
  </sheetViews>
  <sheetFormatPr defaultColWidth="8.72727272727273" defaultRowHeight="18" customHeight="1"/>
  <cols>
    <col min="1" max="2" width="8.72727272727273" style="202"/>
    <col min="3" max="3" width="19" style="202" customWidth="1"/>
    <col min="4" max="4" width="11.9090909090909" style="202" customWidth="1"/>
    <col min="5" max="5" width="11.3636363636364" style="202" customWidth="1"/>
    <col min="6" max="6" width="5.90909090909091" style="203" customWidth="1"/>
    <col min="7" max="7" width="11.1818181818182" style="202"/>
    <col min="8" max="8" width="10.7272727272727" style="202"/>
    <col min="9" max="9" width="10.8181818181818" style="204" customWidth="1"/>
    <col min="10" max="10" width="11.5545454545455" style="204"/>
    <col min="11" max="11" width="12.3636363636364" style="204"/>
    <col min="12" max="12" width="11.5545454545455" style="204"/>
    <col min="13" max="13" width="12.3636363636364" style="204"/>
    <col min="14" max="14" width="13.1363636363636" style="204"/>
    <col min="15" max="15" width="12.8181818181818" style="204" hidden="1" customWidth="1"/>
    <col min="16" max="16" width="12.8181818181818" style="205" hidden="1" customWidth="1"/>
    <col min="17" max="17" width="12.8181818181818" style="204" hidden="1" customWidth="1"/>
    <col min="18" max="22" width="12.8181818181818" style="204" customWidth="1"/>
    <col min="23" max="23" width="12.8181818181818" style="205" customWidth="1"/>
    <col min="24" max="24" width="18.3272727272727" style="202" customWidth="1"/>
    <col min="25" max="25" width="14.2727272727273" style="204" customWidth="1"/>
    <col min="26" max="26" width="6.09090909090909" style="205" customWidth="1"/>
    <col min="27" max="28" width="11.1818181818182" style="206" customWidth="1"/>
    <col min="29" max="29" width="22.7272727272727" style="204" customWidth="1"/>
    <col min="30" max="30" width="14.3636363636364" style="204" customWidth="1"/>
    <col min="31" max="31" width="8.72727272727273" style="202"/>
    <col min="32" max="32" width="8.09090909090909" style="202" customWidth="1"/>
    <col min="33" max="33" width="6.72727272727273" style="202" customWidth="1"/>
    <col min="34" max="34" width="11.7272727272727" style="202"/>
    <col min="35" max="16384" width="8.72727272727273" style="202"/>
  </cols>
  <sheetData>
    <row r="1" customHeight="1" spans="1:23">
      <c r="A1" s="199" t="s">
        <v>0</v>
      </c>
      <c r="B1" s="199" t="s">
        <v>1</v>
      </c>
      <c r="C1" s="199" t="s">
        <v>2</v>
      </c>
      <c r="R1" s="218" t="s">
        <v>9742</v>
      </c>
      <c r="S1" s="218"/>
      <c r="T1" s="218"/>
      <c r="U1" s="218"/>
      <c r="V1" s="219"/>
      <c r="W1" s="220" t="s">
        <v>9743</v>
      </c>
    </row>
    <row r="2" s="199" customFormat="1" customHeight="1" spans="1:36">
      <c r="A2" s="207"/>
      <c r="B2" s="207"/>
      <c r="C2" s="207"/>
      <c r="D2" s="208" t="s">
        <v>3</v>
      </c>
      <c r="E2" s="209" t="s">
        <v>2633</v>
      </c>
      <c r="F2" s="209" t="s">
        <v>9706</v>
      </c>
      <c r="G2" s="209" t="s">
        <v>31</v>
      </c>
      <c r="H2" s="209" t="s">
        <v>30</v>
      </c>
      <c r="I2" s="88" t="s">
        <v>9744</v>
      </c>
      <c r="J2" s="88" t="s">
        <v>9745</v>
      </c>
      <c r="K2" s="88" t="s">
        <v>9746</v>
      </c>
      <c r="L2" s="88" t="s">
        <v>9747</v>
      </c>
      <c r="M2" s="88" t="s">
        <v>28</v>
      </c>
      <c r="N2" s="88" t="s">
        <v>9748</v>
      </c>
      <c r="O2" s="214" t="s">
        <v>9749</v>
      </c>
      <c r="P2" s="215" t="s">
        <v>9750</v>
      </c>
      <c r="Q2" s="126" t="s">
        <v>35</v>
      </c>
      <c r="R2" s="221" t="s">
        <v>9751</v>
      </c>
      <c r="S2" s="221" t="s">
        <v>9752</v>
      </c>
      <c r="T2" s="221" t="s">
        <v>9753</v>
      </c>
      <c r="U2" s="221" t="s">
        <v>28</v>
      </c>
      <c r="V2" s="222" t="s">
        <v>9754</v>
      </c>
      <c r="W2" s="223"/>
      <c r="X2" s="208" t="s">
        <v>36</v>
      </c>
      <c r="Y2" s="47" t="s">
        <v>2652</v>
      </c>
      <c r="Z2" s="227" t="s">
        <v>37</v>
      </c>
      <c r="AA2" s="228" t="s">
        <v>38</v>
      </c>
      <c r="AB2" s="229" t="s">
        <v>9755</v>
      </c>
      <c r="AC2" s="229" t="s">
        <v>9756</v>
      </c>
      <c r="AD2" s="229" t="s">
        <v>9757</v>
      </c>
      <c r="AE2" s="230" t="s">
        <v>39</v>
      </c>
      <c r="AF2" s="199">
        <f>SUM(N:N)</f>
        <v>5063743.06</v>
      </c>
      <c r="AG2" s="230" t="s">
        <v>40</v>
      </c>
      <c r="AH2" s="199">
        <f>SUM(O:O)</f>
        <v>4539957</v>
      </c>
      <c r="AI2" s="199" t="s">
        <v>41</v>
      </c>
      <c r="AJ2" s="199">
        <f>COUNTA(A:A)-1</f>
        <v>31</v>
      </c>
    </row>
    <row r="3" s="200" customFormat="1" customHeight="1" spans="1:30">
      <c r="A3" s="210" t="s">
        <v>4916</v>
      </c>
      <c r="B3" s="210" t="s">
        <v>4917</v>
      </c>
      <c r="C3" s="565" t="s">
        <v>4918</v>
      </c>
      <c r="D3" s="210">
        <v>15690857521</v>
      </c>
      <c r="E3" s="210" t="s">
        <v>9758</v>
      </c>
      <c r="F3" s="211">
        <v>5.75</v>
      </c>
      <c r="G3" s="212">
        <v>43691</v>
      </c>
      <c r="H3" s="210"/>
      <c r="I3" s="216">
        <v>147181</v>
      </c>
      <c r="J3" s="216"/>
      <c r="K3" s="216"/>
      <c r="L3" s="216"/>
      <c r="M3" s="216"/>
      <c r="N3" s="216">
        <v>147181</v>
      </c>
      <c r="O3" s="216">
        <f>N3</f>
        <v>147181</v>
      </c>
      <c r="P3" s="217" t="s">
        <v>9759</v>
      </c>
      <c r="Q3" s="216">
        <f t="shared" ref="Q3:Q18" si="0">N3-O3</f>
        <v>0</v>
      </c>
      <c r="R3" s="216">
        <v>147181</v>
      </c>
      <c r="S3" s="216"/>
      <c r="T3" s="216"/>
      <c r="U3" s="216"/>
      <c r="V3" s="216">
        <v>147181</v>
      </c>
      <c r="W3" s="217" t="s">
        <v>9759</v>
      </c>
      <c r="X3" s="210"/>
      <c r="Y3" s="216"/>
      <c r="Z3" s="217"/>
      <c r="AA3" s="231">
        <v>44841</v>
      </c>
      <c r="AB3" s="232"/>
      <c r="AC3" s="233" t="s">
        <v>9760</v>
      </c>
      <c r="AD3" s="233">
        <v>525932</v>
      </c>
    </row>
    <row r="4" s="200" customFormat="1" customHeight="1" spans="1:30">
      <c r="A4" s="210" t="s">
        <v>9761</v>
      </c>
      <c r="B4" s="210" t="s">
        <v>7332</v>
      </c>
      <c r="C4" s="210" t="s">
        <v>7333</v>
      </c>
      <c r="D4" s="210">
        <v>13273028355</v>
      </c>
      <c r="E4" s="210" t="s">
        <v>9762</v>
      </c>
      <c r="F4" s="211">
        <v>5.75</v>
      </c>
      <c r="G4" s="212">
        <v>43708</v>
      </c>
      <c r="H4" s="210"/>
      <c r="I4" s="216">
        <v>150185</v>
      </c>
      <c r="J4" s="216"/>
      <c r="K4" s="216"/>
      <c r="L4" s="216"/>
      <c r="M4" s="216"/>
      <c r="N4" s="216">
        <f t="shared" ref="N4:N7" si="1">SUM(I4:L4)</f>
        <v>150185</v>
      </c>
      <c r="O4" s="216">
        <f t="shared" ref="O4:O7" si="2">I4+L4</f>
        <v>150185</v>
      </c>
      <c r="P4" s="217" t="s">
        <v>9759</v>
      </c>
      <c r="Q4" s="216">
        <f t="shared" si="0"/>
        <v>0</v>
      </c>
      <c r="R4" s="216">
        <v>150185</v>
      </c>
      <c r="S4" s="216"/>
      <c r="T4" s="216"/>
      <c r="U4" s="216"/>
      <c r="V4" s="216">
        <v>150185</v>
      </c>
      <c r="W4" s="217" t="s">
        <v>9759</v>
      </c>
      <c r="X4" s="210"/>
      <c r="Y4" s="216"/>
      <c r="Z4" s="217" t="s">
        <v>974</v>
      </c>
      <c r="AA4" s="231">
        <v>44868</v>
      </c>
      <c r="AB4" s="232"/>
      <c r="AC4" s="233" t="s">
        <v>9760</v>
      </c>
      <c r="AD4" s="233">
        <v>218423</v>
      </c>
    </row>
    <row r="5" s="200" customFormat="1" customHeight="1" spans="1:30">
      <c r="A5" s="210" t="s">
        <v>8613</v>
      </c>
      <c r="B5" s="210" t="s">
        <v>8614</v>
      </c>
      <c r="C5" s="210" t="s">
        <v>8615</v>
      </c>
      <c r="D5" s="210">
        <v>15890688679</v>
      </c>
      <c r="E5" s="210" t="s">
        <v>9763</v>
      </c>
      <c r="F5" s="211">
        <v>7.11</v>
      </c>
      <c r="G5" s="212">
        <v>43678</v>
      </c>
      <c r="H5" s="210"/>
      <c r="I5" s="216">
        <v>172471</v>
      </c>
      <c r="J5" s="216"/>
      <c r="K5" s="216"/>
      <c r="L5" s="216"/>
      <c r="M5" s="216"/>
      <c r="N5" s="216">
        <f t="shared" si="1"/>
        <v>172471</v>
      </c>
      <c r="O5" s="216">
        <f t="shared" si="2"/>
        <v>172471</v>
      </c>
      <c r="P5" s="217" t="s">
        <v>9759</v>
      </c>
      <c r="Q5" s="216">
        <f t="shared" si="0"/>
        <v>0</v>
      </c>
      <c r="R5" s="216">
        <v>172471</v>
      </c>
      <c r="S5" s="216"/>
      <c r="T5" s="216"/>
      <c r="U5" s="216"/>
      <c r="V5" s="216">
        <v>172471</v>
      </c>
      <c r="W5" s="217" t="s">
        <v>9759</v>
      </c>
      <c r="X5" s="210"/>
      <c r="Y5" s="216"/>
      <c r="Z5" s="217" t="s">
        <v>9764</v>
      </c>
      <c r="AA5" s="231">
        <v>44867</v>
      </c>
      <c r="AB5" s="232"/>
      <c r="AC5" s="233" t="s">
        <v>9760</v>
      </c>
      <c r="AD5" s="233">
        <v>217979</v>
      </c>
    </row>
    <row r="6" s="200" customFormat="1" customHeight="1" spans="1:30">
      <c r="A6" s="210" t="s">
        <v>9765</v>
      </c>
      <c r="B6" s="210" t="s">
        <v>9766</v>
      </c>
      <c r="C6" s="565" t="s">
        <v>9767</v>
      </c>
      <c r="D6" s="210" t="s">
        <v>9768</v>
      </c>
      <c r="E6" s="210" t="s">
        <v>9769</v>
      </c>
      <c r="F6" s="211">
        <v>7.11</v>
      </c>
      <c r="G6" s="212">
        <v>43678</v>
      </c>
      <c r="H6" s="210"/>
      <c r="I6" s="216">
        <v>172471</v>
      </c>
      <c r="J6" s="216"/>
      <c r="K6" s="216"/>
      <c r="L6" s="216"/>
      <c r="M6" s="216"/>
      <c r="N6" s="216">
        <f t="shared" si="1"/>
        <v>172471</v>
      </c>
      <c r="O6" s="216">
        <f t="shared" si="2"/>
        <v>172471</v>
      </c>
      <c r="P6" s="217" t="s">
        <v>9759</v>
      </c>
      <c r="Q6" s="216">
        <f t="shared" si="0"/>
        <v>0</v>
      </c>
      <c r="R6" s="216">
        <v>172471</v>
      </c>
      <c r="S6" s="216"/>
      <c r="T6" s="216"/>
      <c r="U6" s="216"/>
      <c r="V6" s="216">
        <v>172471</v>
      </c>
      <c r="W6" s="217" t="s">
        <v>9759</v>
      </c>
      <c r="X6" s="210"/>
      <c r="Y6" s="216"/>
      <c r="Z6" s="217" t="s">
        <v>9764</v>
      </c>
      <c r="AA6" s="231">
        <v>44867</v>
      </c>
      <c r="AB6" s="232"/>
      <c r="AC6" s="233"/>
      <c r="AD6" s="233"/>
    </row>
    <row r="7" s="200" customFormat="1" customHeight="1" spans="1:30">
      <c r="A7" s="210" t="s">
        <v>9770</v>
      </c>
      <c r="B7" s="210" t="s">
        <v>8707</v>
      </c>
      <c r="C7" s="565" t="s">
        <v>8708</v>
      </c>
      <c r="D7" s="210">
        <v>18703992655</v>
      </c>
      <c r="E7" s="210" t="s">
        <v>9771</v>
      </c>
      <c r="F7" s="211">
        <v>5.11</v>
      </c>
      <c r="G7" s="212">
        <v>43670</v>
      </c>
      <c r="H7" s="210"/>
      <c r="I7" s="216">
        <v>130799</v>
      </c>
      <c r="J7" s="216"/>
      <c r="K7" s="216"/>
      <c r="L7" s="216"/>
      <c r="M7" s="216"/>
      <c r="N7" s="216">
        <f t="shared" si="1"/>
        <v>130799</v>
      </c>
      <c r="O7" s="216">
        <f t="shared" si="2"/>
        <v>130799</v>
      </c>
      <c r="P7" s="217" t="s">
        <v>9759</v>
      </c>
      <c r="Q7" s="216">
        <f t="shared" si="0"/>
        <v>0</v>
      </c>
      <c r="R7" s="216">
        <v>130799</v>
      </c>
      <c r="S7" s="216"/>
      <c r="T7" s="216"/>
      <c r="U7" s="224"/>
      <c r="V7" s="216">
        <v>130799</v>
      </c>
      <c r="W7" s="217" t="s">
        <v>9759</v>
      </c>
      <c r="X7" s="210"/>
      <c r="Y7" s="216"/>
      <c r="Z7" s="217" t="s">
        <v>9764</v>
      </c>
      <c r="AA7" s="231">
        <v>44867</v>
      </c>
      <c r="AB7" s="232"/>
      <c r="AC7" s="233" t="s">
        <v>9760</v>
      </c>
      <c r="AD7" s="233">
        <v>151764</v>
      </c>
    </row>
    <row r="8" s="200" customFormat="1" customHeight="1" spans="1:30">
      <c r="A8" s="210" t="s">
        <v>9772</v>
      </c>
      <c r="B8" s="213" t="s">
        <v>2930</v>
      </c>
      <c r="C8" s="210"/>
      <c r="D8" s="210">
        <v>18703826992</v>
      </c>
      <c r="E8" s="210" t="s">
        <v>9773</v>
      </c>
      <c r="F8" s="211">
        <v>9.38</v>
      </c>
      <c r="G8" s="212">
        <v>43687</v>
      </c>
      <c r="H8" s="210"/>
      <c r="I8" s="216">
        <v>229833</v>
      </c>
      <c r="J8" s="216"/>
      <c r="K8" s="216"/>
      <c r="L8" s="216"/>
      <c r="M8" s="216"/>
      <c r="N8" s="216">
        <f t="shared" ref="N8:N10" si="3">I8</f>
        <v>229833</v>
      </c>
      <c r="O8" s="216">
        <v>229833</v>
      </c>
      <c r="P8" s="217" t="s">
        <v>9759</v>
      </c>
      <c r="Q8" s="216">
        <f t="shared" si="0"/>
        <v>0</v>
      </c>
      <c r="R8" s="216">
        <v>229833</v>
      </c>
      <c r="S8" s="216"/>
      <c r="T8" s="216"/>
      <c r="U8" s="216"/>
      <c r="V8" s="216">
        <v>229833</v>
      </c>
      <c r="W8" s="217" t="s">
        <v>9759</v>
      </c>
      <c r="X8" s="210" t="s">
        <v>9774</v>
      </c>
      <c r="Y8" s="216"/>
      <c r="Z8" s="217"/>
      <c r="AA8" s="231">
        <v>44841</v>
      </c>
      <c r="AB8" s="232"/>
      <c r="AC8" s="234" t="s">
        <v>9760</v>
      </c>
      <c r="AD8" s="234">
        <v>297673</v>
      </c>
    </row>
    <row r="9" s="200" customFormat="1" customHeight="1" spans="1:30">
      <c r="A9" s="210" t="s">
        <v>9775</v>
      </c>
      <c r="B9" s="213" t="s">
        <v>3820</v>
      </c>
      <c r="C9" s="565" t="s">
        <v>3821</v>
      </c>
      <c r="D9" s="210">
        <v>13526550755</v>
      </c>
      <c r="E9" s="210" t="s">
        <v>9776</v>
      </c>
      <c r="F9" s="211">
        <v>6.2</v>
      </c>
      <c r="G9" s="212">
        <v>43802</v>
      </c>
      <c r="H9" s="210"/>
      <c r="I9" s="216">
        <v>158699</v>
      </c>
      <c r="J9" s="216"/>
      <c r="K9" s="216"/>
      <c r="L9" s="216"/>
      <c r="M9" s="216"/>
      <c r="N9" s="216">
        <f t="shared" si="3"/>
        <v>158699</v>
      </c>
      <c r="O9" s="216">
        <v>158699</v>
      </c>
      <c r="P9" s="217" t="s">
        <v>9759</v>
      </c>
      <c r="Q9" s="216">
        <f t="shared" si="0"/>
        <v>0</v>
      </c>
      <c r="R9" s="216">
        <v>158699</v>
      </c>
      <c r="S9" s="216"/>
      <c r="T9" s="216"/>
      <c r="U9" s="216"/>
      <c r="V9" s="216">
        <v>158699</v>
      </c>
      <c r="W9" s="217" t="s">
        <v>9759</v>
      </c>
      <c r="X9" s="210" t="s">
        <v>9777</v>
      </c>
      <c r="Y9" s="216"/>
      <c r="Z9" s="217"/>
      <c r="AA9" s="231">
        <v>44841</v>
      </c>
      <c r="AB9" s="232"/>
      <c r="AC9" s="234" t="s">
        <v>9760</v>
      </c>
      <c r="AD9" s="234">
        <v>270682</v>
      </c>
    </row>
    <row r="10" s="200" customFormat="1" customHeight="1" spans="1:30">
      <c r="A10" s="210" t="s">
        <v>9778</v>
      </c>
      <c r="B10" s="213" t="s">
        <v>3820</v>
      </c>
      <c r="C10" s="565" t="s">
        <v>3821</v>
      </c>
      <c r="D10" s="210">
        <v>13526550755</v>
      </c>
      <c r="E10" s="210" t="s">
        <v>9779</v>
      </c>
      <c r="F10" s="211">
        <v>6.2</v>
      </c>
      <c r="G10" s="212">
        <v>43802</v>
      </c>
      <c r="H10" s="210"/>
      <c r="I10" s="216">
        <v>158699</v>
      </c>
      <c r="J10" s="216"/>
      <c r="K10" s="216"/>
      <c r="L10" s="216"/>
      <c r="M10" s="216"/>
      <c r="N10" s="216">
        <f t="shared" si="3"/>
        <v>158699</v>
      </c>
      <c r="O10" s="216">
        <v>158699</v>
      </c>
      <c r="P10" s="217" t="s">
        <v>9759</v>
      </c>
      <c r="Q10" s="216">
        <f t="shared" si="0"/>
        <v>0</v>
      </c>
      <c r="R10" s="216">
        <v>158699</v>
      </c>
      <c r="S10" s="216"/>
      <c r="T10" s="216"/>
      <c r="U10" s="216"/>
      <c r="V10" s="216">
        <v>158699</v>
      </c>
      <c r="W10" s="217" t="s">
        <v>9759</v>
      </c>
      <c r="X10" s="210" t="s">
        <v>9777</v>
      </c>
      <c r="Y10" s="216"/>
      <c r="Z10" s="217"/>
      <c r="AA10" s="231">
        <v>44841</v>
      </c>
      <c r="AB10" s="232"/>
      <c r="AC10" s="234" t="s">
        <v>9760</v>
      </c>
      <c r="AD10" s="233"/>
    </row>
    <row r="11" s="200" customFormat="1" customHeight="1" spans="1:30">
      <c r="A11" s="210" t="s">
        <v>9780</v>
      </c>
      <c r="B11" s="213" t="s">
        <v>3820</v>
      </c>
      <c r="C11" s="565" t="s">
        <v>3821</v>
      </c>
      <c r="D11" s="210">
        <v>13526550755</v>
      </c>
      <c r="E11" s="210" t="s">
        <v>9781</v>
      </c>
      <c r="F11" s="211">
        <v>6.2</v>
      </c>
      <c r="G11" s="212">
        <v>43802</v>
      </c>
      <c r="H11" s="210"/>
      <c r="I11" s="216">
        <v>158699</v>
      </c>
      <c r="J11" s="216">
        <v>171394.92</v>
      </c>
      <c r="K11" s="216"/>
      <c r="L11" s="216"/>
      <c r="M11" s="216"/>
      <c r="N11" s="216">
        <f>I11+171394.92</f>
        <v>330093.92</v>
      </c>
      <c r="O11" s="216">
        <v>158699</v>
      </c>
      <c r="P11" s="217" t="s">
        <v>9759</v>
      </c>
      <c r="Q11" s="216">
        <f t="shared" si="0"/>
        <v>171394.92</v>
      </c>
      <c r="R11" s="216">
        <v>158699</v>
      </c>
      <c r="S11" s="216"/>
      <c r="T11" s="216"/>
      <c r="U11" s="216"/>
      <c r="V11" s="216">
        <v>158699</v>
      </c>
      <c r="W11" s="217" t="s">
        <v>9759</v>
      </c>
      <c r="X11" s="210" t="s">
        <v>9777</v>
      </c>
      <c r="Y11" s="216"/>
      <c r="Z11" s="217"/>
      <c r="AA11" s="231">
        <v>44841</v>
      </c>
      <c r="AB11" s="232"/>
      <c r="AC11" s="234" t="s">
        <v>9760</v>
      </c>
      <c r="AD11" s="233"/>
    </row>
    <row r="12" s="200" customFormat="1" customHeight="1" spans="1:30">
      <c r="A12" s="210" t="s">
        <v>9782</v>
      </c>
      <c r="B12" s="210" t="s">
        <v>9783</v>
      </c>
      <c r="C12" s="565" t="s">
        <v>9784</v>
      </c>
      <c r="D12" s="210">
        <v>13526730220</v>
      </c>
      <c r="E12" s="210" t="s">
        <v>9785</v>
      </c>
      <c r="F12" s="211">
        <v>5.43</v>
      </c>
      <c r="G12" s="212">
        <v>43713</v>
      </c>
      <c r="H12" s="210"/>
      <c r="I12" s="216">
        <v>133386</v>
      </c>
      <c r="J12" s="216"/>
      <c r="K12" s="216"/>
      <c r="L12" s="216"/>
      <c r="M12" s="216"/>
      <c r="N12" s="216">
        <f t="shared" ref="N12:N16" si="4">I12</f>
        <v>133386</v>
      </c>
      <c r="O12" s="216">
        <v>110711</v>
      </c>
      <c r="P12" s="217" t="s">
        <v>9759</v>
      </c>
      <c r="Q12" s="216">
        <f t="shared" si="0"/>
        <v>22675</v>
      </c>
      <c r="R12" s="216">
        <v>133386</v>
      </c>
      <c r="S12" s="216"/>
      <c r="T12" s="216"/>
      <c r="U12" s="216"/>
      <c r="V12" s="216">
        <v>133386</v>
      </c>
      <c r="W12" s="217" t="s">
        <v>9759</v>
      </c>
      <c r="X12" s="210" t="s">
        <v>9786</v>
      </c>
      <c r="Y12" s="216">
        <f>N12</f>
        <v>133386</v>
      </c>
      <c r="Z12" s="217"/>
      <c r="AA12" s="231">
        <v>44841</v>
      </c>
      <c r="AB12" s="232"/>
      <c r="AC12" s="233"/>
      <c r="AD12" s="233"/>
    </row>
    <row r="13" s="200" customFormat="1" customHeight="1" spans="1:30">
      <c r="A13" s="210" t="s">
        <v>9787</v>
      </c>
      <c r="B13" s="210" t="s">
        <v>9788</v>
      </c>
      <c r="C13" s="565" t="s">
        <v>9789</v>
      </c>
      <c r="D13" s="210">
        <v>13939078993</v>
      </c>
      <c r="E13" s="210" t="s">
        <v>9790</v>
      </c>
      <c r="F13" s="211">
        <v>5.43</v>
      </c>
      <c r="G13" s="212">
        <v>43739</v>
      </c>
      <c r="H13" s="210"/>
      <c r="I13" s="216">
        <v>135879</v>
      </c>
      <c r="J13" s="216"/>
      <c r="K13" s="216"/>
      <c r="L13" s="216"/>
      <c r="M13" s="216"/>
      <c r="N13" s="216">
        <f t="shared" si="4"/>
        <v>135879</v>
      </c>
      <c r="O13" s="216">
        <f>I13</f>
        <v>135879</v>
      </c>
      <c r="P13" s="217" t="s">
        <v>9759</v>
      </c>
      <c r="Q13" s="216">
        <f t="shared" si="0"/>
        <v>0</v>
      </c>
      <c r="R13" s="216">
        <v>135879</v>
      </c>
      <c r="S13" s="216"/>
      <c r="T13" s="216"/>
      <c r="U13" s="216"/>
      <c r="V13" s="216">
        <v>135879</v>
      </c>
      <c r="W13" s="217" t="s">
        <v>9759</v>
      </c>
      <c r="X13" s="210"/>
      <c r="Y13" s="216"/>
      <c r="Z13" s="217"/>
      <c r="AA13" s="231">
        <v>44841</v>
      </c>
      <c r="AB13" s="232"/>
      <c r="AC13" s="233" t="s">
        <v>9760</v>
      </c>
      <c r="AD13" s="233">
        <v>271758</v>
      </c>
    </row>
    <row r="14" s="200" customFormat="1" customHeight="1" spans="1:30">
      <c r="A14" s="210" t="s">
        <v>9787</v>
      </c>
      <c r="B14" s="210" t="s">
        <v>9788</v>
      </c>
      <c r="C14" s="565" t="s">
        <v>9789</v>
      </c>
      <c r="D14" s="210">
        <v>13939078993</v>
      </c>
      <c r="E14" s="210" t="s">
        <v>9791</v>
      </c>
      <c r="F14" s="211">
        <v>5.43</v>
      </c>
      <c r="G14" s="212">
        <v>43739</v>
      </c>
      <c r="H14" s="210"/>
      <c r="I14" s="216">
        <v>135879</v>
      </c>
      <c r="J14" s="216"/>
      <c r="K14" s="216"/>
      <c r="L14" s="216"/>
      <c r="M14" s="216"/>
      <c r="N14" s="216">
        <f t="shared" si="4"/>
        <v>135879</v>
      </c>
      <c r="O14" s="216">
        <f>I14</f>
        <v>135879</v>
      </c>
      <c r="P14" s="217" t="s">
        <v>9759</v>
      </c>
      <c r="Q14" s="216">
        <f t="shared" si="0"/>
        <v>0</v>
      </c>
      <c r="R14" s="216">
        <v>135879</v>
      </c>
      <c r="S14" s="216"/>
      <c r="T14" s="216"/>
      <c r="U14" s="216"/>
      <c r="V14" s="216">
        <v>135879</v>
      </c>
      <c r="W14" s="217" t="s">
        <v>9759</v>
      </c>
      <c r="X14" s="210"/>
      <c r="Y14" s="216"/>
      <c r="Z14" s="217"/>
      <c r="AA14" s="231">
        <v>44841</v>
      </c>
      <c r="AB14" s="232"/>
      <c r="AC14" s="233" t="s">
        <v>9760</v>
      </c>
      <c r="AD14" s="233"/>
    </row>
    <row r="15" s="200" customFormat="1" customHeight="1" spans="1:30">
      <c r="A15" s="210" t="s">
        <v>9792</v>
      </c>
      <c r="B15" s="210" t="s">
        <v>9793</v>
      </c>
      <c r="C15" s="565" t="s">
        <v>9794</v>
      </c>
      <c r="D15" s="210">
        <v>13283895232</v>
      </c>
      <c r="E15" s="210" t="s">
        <v>9795</v>
      </c>
      <c r="F15" s="211">
        <v>5.43</v>
      </c>
      <c r="G15" s="212">
        <v>43666</v>
      </c>
      <c r="H15" s="210"/>
      <c r="I15" s="216">
        <v>135865</v>
      </c>
      <c r="J15" s="216"/>
      <c r="K15" s="216"/>
      <c r="L15" s="216"/>
      <c r="M15" s="216"/>
      <c r="N15" s="216">
        <f t="shared" si="4"/>
        <v>135865</v>
      </c>
      <c r="O15" s="216">
        <v>135865</v>
      </c>
      <c r="P15" s="217" t="s">
        <v>9759</v>
      </c>
      <c r="Q15" s="216">
        <f t="shared" si="0"/>
        <v>0</v>
      </c>
      <c r="R15" s="216">
        <v>135865</v>
      </c>
      <c r="S15" s="216"/>
      <c r="T15" s="216"/>
      <c r="U15" s="216"/>
      <c r="V15" s="216">
        <v>135865</v>
      </c>
      <c r="W15" s="217" t="s">
        <v>9759</v>
      </c>
      <c r="X15" s="210"/>
      <c r="Y15" s="216"/>
      <c r="Z15" s="217"/>
      <c r="AA15" s="231">
        <v>44841</v>
      </c>
      <c r="AB15" s="232"/>
      <c r="AC15" s="233" t="s">
        <v>9760</v>
      </c>
      <c r="AD15" s="233">
        <v>10000</v>
      </c>
    </row>
    <row r="16" s="200" customFormat="1" customHeight="1" spans="1:30">
      <c r="A16" s="210" t="s">
        <v>9796</v>
      </c>
      <c r="B16" s="210" t="s">
        <v>9797</v>
      </c>
      <c r="C16" s="565" t="s">
        <v>9798</v>
      </c>
      <c r="D16" s="210">
        <v>18937196171</v>
      </c>
      <c r="E16" s="210" t="s">
        <v>9799</v>
      </c>
      <c r="F16" s="211">
        <v>5.43</v>
      </c>
      <c r="G16" s="212">
        <v>43722</v>
      </c>
      <c r="H16" s="210"/>
      <c r="I16" s="216">
        <v>135879</v>
      </c>
      <c r="J16" s="216"/>
      <c r="K16" s="216"/>
      <c r="L16" s="216"/>
      <c r="M16" s="216"/>
      <c r="N16" s="216">
        <f t="shared" si="4"/>
        <v>135879</v>
      </c>
      <c r="O16" s="216">
        <v>135879</v>
      </c>
      <c r="P16" s="217" t="s">
        <v>9759</v>
      </c>
      <c r="Q16" s="216">
        <f t="shared" si="0"/>
        <v>0</v>
      </c>
      <c r="R16" s="216">
        <v>135879</v>
      </c>
      <c r="S16" s="216"/>
      <c r="T16" s="216"/>
      <c r="U16" s="216"/>
      <c r="V16" s="216">
        <v>135879</v>
      </c>
      <c r="W16" s="217" t="s">
        <v>9759</v>
      </c>
      <c r="X16" s="210"/>
      <c r="Y16" s="216"/>
      <c r="Z16" s="217"/>
      <c r="AA16" s="231">
        <v>44841</v>
      </c>
      <c r="AB16" s="232"/>
      <c r="AC16" s="233" t="s">
        <v>9760</v>
      </c>
      <c r="AD16" s="233">
        <v>135879</v>
      </c>
    </row>
    <row r="17" s="200" customFormat="1" customHeight="1" spans="1:30">
      <c r="A17" s="210" t="s">
        <v>9800</v>
      </c>
      <c r="B17" s="210" t="s">
        <v>9801</v>
      </c>
      <c r="C17" s="565" t="s">
        <v>9802</v>
      </c>
      <c r="D17" s="210">
        <v>15890046080</v>
      </c>
      <c r="E17" s="210" t="s">
        <v>9803</v>
      </c>
      <c r="F17" s="211">
        <v>5.75</v>
      </c>
      <c r="G17" s="212">
        <v>43691</v>
      </c>
      <c r="H17" s="210"/>
      <c r="I17" s="216">
        <v>145401</v>
      </c>
      <c r="J17" s="216"/>
      <c r="K17" s="216"/>
      <c r="L17" s="216"/>
      <c r="M17" s="216"/>
      <c r="N17" s="216">
        <v>145401</v>
      </c>
      <c r="O17" s="216">
        <f>N17</f>
        <v>145401</v>
      </c>
      <c r="P17" s="217" t="s">
        <v>9759</v>
      </c>
      <c r="Q17" s="216">
        <f t="shared" si="0"/>
        <v>0</v>
      </c>
      <c r="R17" s="216">
        <v>145401</v>
      </c>
      <c r="S17" s="216"/>
      <c r="T17" s="216"/>
      <c r="U17" s="216"/>
      <c r="V17" s="216">
        <v>145401</v>
      </c>
      <c r="W17" s="217" t="s">
        <v>9759</v>
      </c>
      <c r="X17" s="210"/>
      <c r="Y17" s="216"/>
      <c r="Z17" s="217"/>
      <c r="AA17" s="231">
        <v>44841</v>
      </c>
      <c r="AB17" s="232"/>
      <c r="AC17" s="233" t="s">
        <v>9760</v>
      </c>
      <c r="AD17" s="233">
        <v>10000</v>
      </c>
    </row>
    <row r="18" s="200" customFormat="1" customHeight="1" spans="1:30">
      <c r="A18" s="210" t="s">
        <v>9804</v>
      </c>
      <c r="B18" s="213" t="s">
        <v>9805</v>
      </c>
      <c r="C18" s="565" t="s">
        <v>9806</v>
      </c>
      <c r="D18" s="210">
        <v>15838192816</v>
      </c>
      <c r="E18" s="210" t="s">
        <v>9807</v>
      </c>
      <c r="F18" s="211">
        <v>12.01</v>
      </c>
      <c r="G18" s="212">
        <v>43541</v>
      </c>
      <c r="H18" s="210"/>
      <c r="I18" s="216"/>
      <c r="J18" s="216">
        <f>52071+57857</f>
        <v>109928</v>
      </c>
      <c r="K18" s="216">
        <v>75444</v>
      </c>
      <c r="L18" s="216">
        <v>1492</v>
      </c>
      <c r="M18" s="216"/>
      <c r="N18" s="216">
        <f>SUM(I18:L18)</f>
        <v>186864</v>
      </c>
      <c r="O18" s="216">
        <v>0</v>
      </c>
      <c r="P18" s="217" t="s">
        <v>9808</v>
      </c>
      <c r="Q18" s="216">
        <f t="shared" si="0"/>
        <v>186864</v>
      </c>
      <c r="R18" s="216"/>
      <c r="S18" s="216"/>
      <c r="T18" s="216"/>
      <c r="U18" s="216"/>
      <c r="V18" s="216">
        <v>0</v>
      </c>
      <c r="W18" s="217" t="s">
        <v>9808</v>
      </c>
      <c r="X18" s="210" t="s">
        <v>9809</v>
      </c>
      <c r="Y18" s="216"/>
      <c r="Z18" s="217"/>
      <c r="AA18" s="231">
        <v>44841</v>
      </c>
      <c r="AB18" s="232"/>
      <c r="AC18" s="234" t="s">
        <v>9810</v>
      </c>
      <c r="AD18" s="234">
        <v>528570</v>
      </c>
    </row>
    <row r="19" s="200" customFormat="1" customHeight="1" spans="1:30">
      <c r="A19" s="210" t="s">
        <v>9811</v>
      </c>
      <c r="B19" s="210" t="s">
        <v>9812</v>
      </c>
      <c r="C19" s="210" t="s">
        <v>9813</v>
      </c>
      <c r="D19" s="210">
        <v>15038384346</v>
      </c>
      <c r="E19" s="210" t="s">
        <v>9814</v>
      </c>
      <c r="F19" s="211">
        <v>5.75</v>
      </c>
      <c r="G19" s="212">
        <v>43713</v>
      </c>
      <c r="H19" s="210"/>
      <c r="I19" s="216">
        <v>147181</v>
      </c>
      <c r="J19" s="216"/>
      <c r="K19" s="216"/>
      <c r="L19" s="216"/>
      <c r="M19" s="216"/>
      <c r="N19" s="216">
        <v>147181</v>
      </c>
      <c r="O19" s="216">
        <v>147181</v>
      </c>
      <c r="P19" s="217" t="s">
        <v>9759</v>
      </c>
      <c r="Q19" s="216">
        <f t="shared" ref="Q19:Q35" si="5">N19-O19</f>
        <v>0</v>
      </c>
      <c r="R19" s="216">
        <v>147181</v>
      </c>
      <c r="S19" s="216"/>
      <c r="T19" s="216"/>
      <c r="U19" s="216"/>
      <c r="V19" s="216">
        <v>147181</v>
      </c>
      <c r="W19" s="217" t="s">
        <v>9759</v>
      </c>
      <c r="X19" s="210"/>
      <c r="Y19" s="216">
        <v>147181</v>
      </c>
      <c r="Z19" s="217" t="s">
        <v>900</v>
      </c>
      <c r="AA19" s="231">
        <v>44843</v>
      </c>
      <c r="AB19" s="232"/>
      <c r="AC19" s="233"/>
      <c r="AD19" s="233"/>
    </row>
    <row r="20" s="200" customFormat="1" customHeight="1" spans="1:30">
      <c r="A20" s="210" t="s">
        <v>9815</v>
      </c>
      <c r="B20" s="210" t="s">
        <v>9816</v>
      </c>
      <c r="C20" s="565" t="s">
        <v>9817</v>
      </c>
      <c r="D20" s="210">
        <v>15090539666</v>
      </c>
      <c r="E20" s="210" t="s">
        <v>9818</v>
      </c>
      <c r="F20" s="211">
        <v>7.11</v>
      </c>
      <c r="G20" s="212">
        <v>43729</v>
      </c>
      <c r="H20" s="210"/>
      <c r="I20" s="216">
        <v>172453</v>
      </c>
      <c r="J20" s="216"/>
      <c r="K20" s="216"/>
      <c r="L20" s="216"/>
      <c r="M20" s="216"/>
      <c r="N20" s="216">
        <f t="shared" ref="N19:N33" si="6">SUM(I20:L20)</f>
        <v>172453</v>
      </c>
      <c r="O20" s="216">
        <f t="shared" ref="O19:O29" si="7">I20+L20</f>
        <v>172453</v>
      </c>
      <c r="P20" s="217" t="s">
        <v>9759</v>
      </c>
      <c r="Q20" s="216">
        <f t="shared" si="5"/>
        <v>0</v>
      </c>
      <c r="R20" s="216">
        <v>172453</v>
      </c>
      <c r="S20" s="216"/>
      <c r="T20" s="216"/>
      <c r="U20" s="216"/>
      <c r="V20" s="216">
        <v>172453</v>
      </c>
      <c r="W20" s="217" t="s">
        <v>9759</v>
      </c>
      <c r="X20" s="210"/>
      <c r="Y20" s="216"/>
      <c r="Z20" s="217" t="s">
        <v>854</v>
      </c>
      <c r="AA20" s="231">
        <v>44844</v>
      </c>
      <c r="AB20" s="232"/>
      <c r="AC20" s="233"/>
      <c r="AD20" s="233"/>
    </row>
    <row r="21" s="200" customFormat="1" customHeight="1" spans="1:30">
      <c r="A21" s="210" t="s">
        <v>9819</v>
      </c>
      <c r="B21" s="210" t="s">
        <v>9820</v>
      </c>
      <c r="C21" s="565" t="s">
        <v>9821</v>
      </c>
      <c r="D21" s="210">
        <v>15836843331</v>
      </c>
      <c r="E21" s="210" t="s">
        <v>9822</v>
      </c>
      <c r="F21" s="211">
        <v>7.11</v>
      </c>
      <c r="G21" s="212">
        <v>43839</v>
      </c>
      <c r="H21" s="210"/>
      <c r="I21" s="216">
        <v>172453</v>
      </c>
      <c r="J21" s="216"/>
      <c r="K21" s="216"/>
      <c r="L21" s="216"/>
      <c r="M21" s="216"/>
      <c r="N21" s="216">
        <f t="shared" si="6"/>
        <v>172453</v>
      </c>
      <c r="O21" s="216">
        <f t="shared" si="7"/>
        <v>172453</v>
      </c>
      <c r="P21" s="217" t="s">
        <v>9759</v>
      </c>
      <c r="Q21" s="216">
        <f t="shared" si="5"/>
        <v>0</v>
      </c>
      <c r="R21" s="216">
        <v>172453</v>
      </c>
      <c r="S21" s="216"/>
      <c r="T21" s="216"/>
      <c r="U21" s="216"/>
      <c r="V21" s="216">
        <v>172453</v>
      </c>
      <c r="W21" s="217" t="s">
        <v>9759</v>
      </c>
      <c r="X21" s="210"/>
      <c r="Y21" s="216">
        <v>10000</v>
      </c>
      <c r="Z21" s="217" t="s">
        <v>854</v>
      </c>
      <c r="AA21" s="231">
        <v>44844</v>
      </c>
      <c r="AB21" s="232"/>
      <c r="AC21" s="233" t="s">
        <v>9760</v>
      </c>
      <c r="AD21" s="233">
        <v>162453</v>
      </c>
    </row>
    <row r="22" s="200" customFormat="1" customHeight="1" spans="1:30">
      <c r="A22" s="210" t="s">
        <v>9823</v>
      </c>
      <c r="B22" s="210" t="s">
        <v>5775</v>
      </c>
      <c r="C22" s="565" t="s">
        <v>5776</v>
      </c>
      <c r="D22" s="210">
        <v>13781658258</v>
      </c>
      <c r="E22" s="210" t="s">
        <v>9824</v>
      </c>
      <c r="F22" s="211">
        <v>7.11</v>
      </c>
      <c r="G22" s="212">
        <v>43729</v>
      </c>
      <c r="H22" s="210"/>
      <c r="I22" s="216">
        <v>172453</v>
      </c>
      <c r="J22" s="216"/>
      <c r="K22" s="216"/>
      <c r="L22" s="216"/>
      <c r="M22" s="216"/>
      <c r="N22" s="216">
        <f t="shared" si="6"/>
        <v>172453</v>
      </c>
      <c r="O22" s="216">
        <f t="shared" si="7"/>
        <v>172453</v>
      </c>
      <c r="P22" s="217" t="s">
        <v>9759</v>
      </c>
      <c r="Q22" s="216">
        <f t="shared" si="5"/>
        <v>0</v>
      </c>
      <c r="R22" s="216">
        <v>172453</v>
      </c>
      <c r="S22" s="216"/>
      <c r="T22" s="216"/>
      <c r="U22" s="216"/>
      <c r="V22" s="216">
        <v>172453</v>
      </c>
      <c r="W22" s="217" t="s">
        <v>9759</v>
      </c>
      <c r="X22" s="210"/>
      <c r="Y22" s="216"/>
      <c r="Z22" s="217" t="s">
        <v>854</v>
      </c>
      <c r="AA22" s="231">
        <v>44844</v>
      </c>
      <c r="AB22" s="232"/>
      <c r="AC22" s="233"/>
      <c r="AD22" s="233"/>
    </row>
    <row r="23" s="200" customFormat="1" customHeight="1" spans="1:30">
      <c r="A23" s="210" t="s">
        <v>9825</v>
      </c>
      <c r="B23" s="210" t="s">
        <v>793</v>
      </c>
      <c r="C23" s="210" t="s">
        <v>9826</v>
      </c>
      <c r="D23" s="210">
        <v>13001210796</v>
      </c>
      <c r="E23" s="210" t="s">
        <v>9827</v>
      </c>
      <c r="F23" s="211">
        <v>5.43</v>
      </c>
      <c r="G23" s="212">
        <v>43752</v>
      </c>
      <c r="H23" s="210"/>
      <c r="I23" s="216">
        <v>133386</v>
      </c>
      <c r="J23" s="216"/>
      <c r="K23" s="216"/>
      <c r="L23" s="216"/>
      <c r="M23" s="216"/>
      <c r="N23" s="216">
        <f t="shared" si="6"/>
        <v>133386</v>
      </c>
      <c r="O23" s="216">
        <f t="shared" si="7"/>
        <v>133386</v>
      </c>
      <c r="P23" s="217" t="s">
        <v>9759</v>
      </c>
      <c r="Q23" s="216">
        <f t="shared" si="5"/>
        <v>0</v>
      </c>
      <c r="R23" s="216">
        <v>133386</v>
      </c>
      <c r="S23" s="216"/>
      <c r="T23" s="216"/>
      <c r="U23" s="216"/>
      <c r="V23" s="216">
        <v>133386</v>
      </c>
      <c r="W23" s="217" t="s">
        <v>9759</v>
      </c>
      <c r="X23" s="210"/>
      <c r="Y23" s="216"/>
      <c r="Z23" s="217" t="s">
        <v>854</v>
      </c>
      <c r="AA23" s="231">
        <v>44844</v>
      </c>
      <c r="AB23" s="232"/>
      <c r="AC23" s="233" t="s">
        <v>9760</v>
      </c>
      <c r="AD23" s="233">
        <v>133386</v>
      </c>
    </row>
    <row r="24" s="200" customFormat="1" customHeight="1" spans="1:30">
      <c r="A24" s="210" t="s">
        <v>9828</v>
      </c>
      <c r="B24" s="210" t="s">
        <v>793</v>
      </c>
      <c r="C24" s="210" t="s">
        <v>9826</v>
      </c>
      <c r="D24" s="210">
        <v>13001210796</v>
      </c>
      <c r="E24" s="210" t="s">
        <v>9829</v>
      </c>
      <c r="F24" s="211">
        <v>5.43</v>
      </c>
      <c r="G24" s="212">
        <v>43752</v>
      </c>
      <c r="H24" s="210"/>
      <c r="I24" s="216">
        <v>133386</v>
      </c>
      <c r="J24" s="216"/>
      <c r="K24" s="216"/>
      <c r="L24" s="216"/>
      <c r="M24" s="216"/>
      <c r="N24" s="216">
        <f t="shared" si="6"/>
        <v>133386</v>
      </c>
      <c r="O24" s="216">
        <f t="shared" si="7"/>
        <v>133386</v>
      </c>
      <c r="P24" s="217" t="s">
        <v>9759</v>
      </c>
      <c r="Q24" s="216">
        <f t="shared" si="5"/>
        <v>0</v>
      </c>
      <c r="R24" s="216">
        <v>133386</v>
      </c>
      <c r="S24" s="216"/>
      <c r="T24" s="216"/>
      <c r="U24" s="216"/>
      <c r="V24" s="216">
        <v>133386</v>
      </c>
      <c r="W24" s="217" t="s">
        <v>9759</v>
      </c>
      <c r="X24" s="210"/>
      <c r="Y24" s="216"/>
      <c r="Z24" s="217" t="s">
        <v>854</v>
      </c>
      <c r="AA24" s="231">
        <v>44844</v>
      </c>
      <c r="AB24" s="232"/>
      <c r="AC24" s="233" t="s">
        <v>9760</v>
      </c>
      <c r="AD24" s="233"/>
    </row>
    <row r="25" s="200" customFormat="1" customHeight="1" spans="1:30">
      <c r="A25" s="210" t="s">
        <v>9830</v>
      </c>
      <c r="B25" s="210" t="s">
        <v>793</v>
      </c>
      <c r="C25" s="210" t="s">
        <v>9826</v>
      </c>
      <c r="D25" s="210">
        <v>13001210796</v>
      </c>
      <c r="E25" s="210" t="s">
        <v>9831</v>
      </c>
      <c r="F25" s="211">
        <v>5.43</v>
      </c>
      <c r="G25" s="212">
        <v>43752</v>
      </c>
      <c r="H25" s="210"/>
      <c r="I25" s="216">
        <v>133386</v>
      </c>
      <c r="J25" s="216"/>
      <c r="K25" s="216"/>
      <c r="L25" s="216"/>
      <c r="M25" s="216"/>
      <c r="N25" s="216">
        <f t="shared" si="6"/>
        <v>133386</v>
      </c>
      <c r="O25" s="216">
        <f t="shared" si="7"/>
        <v>133386</v>
      </c>
      <c r="P25" s="217" t="s">
        <v>9759</v>
      </c>
      <c r="Q25" s="216">
        <f t="shared" si="5"/>
        <v>0</v>
      </c>
      <c r="R25" s="216">
        <v>133386</v>
      </c>
      <c r="S25" s="216"/>
      <c r="T25" s="216"/>
      <c r="U25" s="216"/>
      <c r="V25" s="216">
        <v>133386</v>
      </c>
      <c r="W25" s="217" t="s">
        <v>9759</v>
      </c>
      <c r="X25" s="210"/>
      <c r="Y25" s="216"/>
      <c r="Z25" s="217" t="s">
        <v>854</v>
      </c>
      <c r="AA25" s="231">
        <v>44844</v>
      </c>
      <c r="AB25" s="232"/>
      <c r="AC25" s="233" t="s">
        <v>9760</v>
      </c>
      <c r="AD25" s="233"/>
    </row>
    <row r="26" s="200" customFormat="1" customHeight="1" spans="1:30">
      <c r="A26" s="210" t="s">
        <v>9832</v>
      </c>
      <c r="B26" s="210" t="s">
        <v>793</v>
      </c>
      <c r="C26" s="210" t="s">
        <v>9826</v>
      </c>
      <c r="D26" s="210">
        <v>13001210796</v>
      </c>
      <c r="E26" s="210" t="s">
        <v>9833</v>
      </c>
      <c r="F26" s="211">
        <v>5.43</v>
      </c>
      <c r="G26" s="212">
        <v>43752</v>
      </c>
      <c r="H26" s="210"/>
      <c r="I26" s="216">
        <v>133386</v>
      </c>
      <c r="J26" s="216"/>
      <c r="K26" s="216"/>
      <c r="L26" s="216"/>
      <c r="M26" s="216"/>
      <c r="N26" s="216">
        <f t="shared" si="6"/>
        <v>133386</v>
      </c>
      <c r="O26" s="216">
        <f t="shared" si="7"/>
        <v>133386</v>
      </c>
      <c r="P26" s="217" t="s">
        <v>9759</v>
      </c>
      <c r="Q26" s="216">
        <f t="shared" si="5"/>
        <v>0</v>
      </c>
      <c r="R26" s="216">
        <v>133386</v>
      </c>
      <c r="S26" s="216"/>
      <c r="T26" s="216"/>
      <c r="U26" s="216"/>
      <c r="V26" s="216">
        <v>133386</v>
      </c>
      <c r="W26" s="217" t="s">
        <v>9759</v>
      </c>
      <c r="X26" s="210"/>
      <c r="Y26" s="216"/>
      <c r="Z26" s="217" t="s">
        <v>854</v>
      </c>
      <c r="AA26" s="231">
        <v>44844</v>
      </c>
      <c r="AB26" s="232"/>
      <c r="AC26" s="233" t="s">
        <v>9760</v>
      </c>
      <c r="AD26" s="233"/>
    </row>
    <row r="27" s="200" customFormat="1" customHeight="1" spans="1:30">
      <c r="A27" s="210" t="s">
        <v>9834</v>
      </c>
      <c r="B27" s="210" t="s">
        <v>6805</v>
      </c>
      <c r="C27" s="565" t="s">
        <v>6806</v>
      </c>
      <c r="D27" s="210">
        <v>13526762528</v>
      </c>
      <c r="E27" s="210" t="s">
        <v>9835</v>
      </c>
      <c r="F27" s="211">
        <v>5.43</v>
      </c>
      <c r="G27" s="212">
        <v>43771</v>
      </c>
      <c r="H27" s="210" t="s">
        <v>9836</v>
      </c>
      <c r="I27" s="216">
        <v>137483</v>
      </c>
      <c r="J27" s="216"/>
      <c r="K27" s="216"/>
      <c r="L27" s="216"/>
      <c r="M27" s="216"/>
      <c r="N27" s="216">
        <f t="shared" si="6"/>
        <v>137483</v>
      </c>
      <c r="O27" s="216">
        <f t="shared" si="7"/>
        <v>137483</v>
      </c>
      <c r="P27" s="217" t="s">
        <v>9759</v>
      </c>
      <c r="Q27" s="216">
        <f t="shared" si="5"/>
        <v>0</v>
      </c>
      <c r="R27" s="216">
        <v>137483</v>
      </c>
      <c r="S27" s="216"/>
      <c r="T27" s="216"/>
      <c r="U27" s="216"/>
      <c r="V27" s="216">
        <v>137483</v>
      </c>
      <c r="W27" s="217" t="s">
        <v>9759</v>
      </c>
      <c r="X27" s="210"/>
      <c r="Y27" s="216"/>
      <c r="Z27" s="217" t="s">
        <v>854</v>
      </c>
      <c r="AA27" s="231">
        <v>44874</v>
      </c>
      <c r="AB27" s="232"/>
      <c r="AC27" s="233" t="s">
        <v>9760</v>
      </c>
      <c r="AD27" s="233">
        <v>20000</v>
      </c>
    </row>
    <row r="28" s="200" customFormat="1" customHeight="1" spans="1:30">
      <c r="A28" s="210" t="s">
        <v>9837</v>
      </c>
      <c r="B28" s="210" t="s">
        <v>9838</v>
      </c>
      <c r="C28" s="565" t="s">
        <v>9839</v>
      </c>
      <c r="D28" s="210">
        <v>15838117920</v>
      </c>
      <c r="E28" s="210" t="s">
        <v>9840</v>
      </c>
      <c r="F28" s="211">
        <v>7.11</v>
      </c>
      <c r="G28" s="212">
        <v>43702</v>
      </c>
      <c r="H28" s="210"/>
      <c r="I28" s="216">
        <v>172453</v>
      </c>
      <c r="J28" s="216"/>
      <c r="K28" s="216"/>
      <c r="L28" s="216"/>
      <c r="M28" s="216"/>
      <c r="N28" s="216">
        <f t="shared" si="6"/>
        <v>172453</v>
      </c>
      <c r="O28" s="216">
        <f t="shared" si="7"/>
        <v>172453</v>
      </c>
      <c r="P28" s="217" t="s">
        <v>9759</v>
      </c>
      <c r="Q28" s="216">
        <f t="shared" si="5"/>
        <v>0</v>
      </c>
      <c r="R28" s="216">
        <v>172453</v>
      </c>
      <c r="S28" s="216"/>
      <c r="T28" s="216"/>
      <c r="U28" s="216"/>
      <c r="V28" s="216">
        <v>172453</v>
      </c>
      <c r="W28" s="217" t="s">
        <v>9759</v>
      </c>
      <c r="X28" s="210"/>
      <c r="Y28" s="216"/>
      <c r="Z28" s="217" t="s">
        <v>900</v>
      </c>
      <c r="AA28" s="231">
        <v>44875</v>
      </c>
      <c r="AB28" s="232"/>
      <c r="AC28" s="233"/>
      <c r="AD28" s="233"/>
    </row>
    <row r="29" s="200" customFormat="1" customHeight="1" spans="1:30">
      <c r="A29" s="210" t="s">
        <v>9841</v>
      </c>
      <c r="B29" s="210" t="s">
        <v>9842</v>
      </c>
      <c r="C29" s="565" t="s">
        <v>9843</v>
      </c>
      <c r="D29" s="210">
        <v>18203658102</v>
      </c>
      <c r="E29" s="210" t="s">
        <v>9844</v>
      </c>
      <c r="F29" s="211">
        <v>5.34</v>
      </c>
      <c r="G29" s="212">
        <v>43775</v>
      </c>
      <c r="H29" s="210"/>
      <c r="I29" s="216">
        <v>135035</v>
      </c>
      <c r="J29" s="216">
        <v>48612.14</v>
      </c>
      <c r="K29" s="216"/>
      <c r="L29" s="216"/>
      <c r="M29" s="216"/>
      <c r="N29" s="216">
        <f t="shared" si="6"/>
        <v>183647.14</v>
      </c>
      <c r="O29" s="216">
        <f t="shared" si="7"/>
        <v>135035</v>
      </c>
      <c r="P29" s="217" t="s">
        <v>9759</v>
      </c>
      <c r="Q29" s="216">
        <f t="shared" si="5"/>
        <v>48612.14</v>
      </c>
      <c r="R29" s="216">
        <v>135035</v>
      </c>
      <c r="S29" s="216">
        <v>0</v>
      </c>
      <c r="T29" s="216"/>
      <c r="U29" s="216"/>
      <c r="V29" s="216">
        <v>135035</v>
      </c>
      <c r="W29" s="217" t="s">
        <v>9759</v>
      </c>
      <c r="X29" s="225" t="s">
        <v>9845</v>
      </c>
      <c r="Y29" s="216"/>
      <c r="Z29" s="217" t="s">
        <v>900</v>
      </c>
      <c r="AA29" s="231">
        <v>44878</v>
      </c>
      <c r="AB29" s="232"/>
      <c r="AC29" s="233"/>
      <c r="AD29" s="233"/>
    </row>
    <row r="30" s="201" customFormat="1" customHeight="1" spans="1:36">
      <c r="A30" s="210" t="s">
        <v>9846</v>
      </c>
      <c r="B30" s="210" t="s">
        <v>9847</v>
      </c>
      <c r="C30" s="210" t="s">
        <v>9848</v>
      </c>
      <c r="D30" s="210" t="s">
        <v>9849</v>
      </c>
      <c r="E30" s="210" t="s">
        <v>9850</v>
      </c>
      <c r="F30" s="211">
        <v>5.11</v>
      </c>
      <c r="G30" s="212">
        <v>43676</v>
      </c>
      <c r="H30" s="210"/>
      <c r="I30" s="216">
        <v>131000</v>
      </c>
      <c r="J30" s="216"/>
      <c r="K30" s="216"/>
      <c r="L30" s="216"/>
      <c r="M30" s="216"/>
      <c r="N30" s="216">
        <f t="shared" si="6"/>
        <v>131000</v>
      </c>
      <c r="O30" s="216">
        <f>N30</f>
        <v>131000</v>
      </c>
      <c r="P30" s="217" t="s">
        <v>9759</v>
      </c>
      <c r="Q30" s="216">
        <f t="shared" si="5"/>
        <v>0</v>
      </c>
      <c r="R30" s="216">
        <v>131000</v>
      </c>
      <c r="S30" s="216"/>
      <c r="T30" s="216"/>
      <c r="U30" s="216"/>
      <c r="V30" s="216">
        <v>131000</v>
      </c>
      <c r="W30" s="217" t="s">
        <v>9759</v>
      </c>
      <c r="X30" s="210"/>
      <c r="Y30" s="216"/>
      <c r="Z30" s="217" t="s">
        <v>886</v>
      </c>
      <c r="AA30" s="231">
        <v>44879</v>
      </c>
      <c r="AB30" s="232"/>
      <c r="AC30" s="233" t="s">
        <v>9851</v>
      </c>
      <c r="AD30" s="233">
        <v>131000</v>
      </c>
      <c r="AE30" s="200"/>
      <c r="AF30" s="200"/>
      <c r="AG30" s="200"/>
      <c r="AH30" s="200"/>
      <c r="AI30" s="200"/>
      <c r="AJ30" s="200"/>
    </row>
    <row r="31" s="201" customFormat="1" customHeight="1" spans="1:36">
      <c r="A31" s="210" t="s">
        <v>9852</v>
      </c>
      <c r="B31" s="210" t="s">
        <v>9847</v>
      </c>
      <c r="C31" s="210" t="s">
        <v>9848</v>
      </c>
      <c r="D31" s="210" t="s">
        <v>9849</v>
      </c>
      <c r="E31" s="210" t="s">
        <v>9853</v>
      </c>
      <c r="F31" s="211">
        <v>5.11</v>
      </c>
      <c r="G31" s="212">
        <v>43706</v>
      </c>
      <c r="H31" s="210"/>
      <c r="I31" s="216">
        <v>131000</v>
      </c>
      <c r="J31" s="216"/>
      <c r="K31" s="216"/>
      <c r="L31" s="216"/>
      <c r="M31" s="216"/>
      <c r="N31" s="216">
        <f t="shared" si="6"/>
        <v>131000</v>
      </c>
      <c r="O31" s="216">
        <f>N31</f>
        <v>131000</v>
      </c>
      <c r="P31" s="217" t="s">
        <v>9759</v>
      </c>
      <c r="Q31" s="216">
        <f t="shared" si="5"/>
        <v>0</v>
      </c>
      <c r="R31" s="216">
        <v>131000</v>
      </c>
      <c r="S31" s="216"/>
      <c r="T31" s="216"/>
      <c r="U31" s="216"/>
      <c r="V31" s="216">
        <v>131000</v>
      </c>
      <c r="W31" s="217" t="s">
        <v>9759</v>
      </c>
      <c r="X31" s="210"/>
      <c r="Y31" s="216">
        <f>O31</f>
        <v>131000</v>
      </c>
      <c r="Z31" s="217" t="s">
        <v>886</v>
      </c>
      <c r="AA31" s="231">
        <v>44879</v>
      </c>
      <c r="AB31" s="232"/>
      <c r="AC31" s="233" t="s">
        <v>9851</v>
      </c>
      <c r="AD31" s="233"/>
      <c r="AE31" s="200"/>
      <c r="AF31" s="200"/>
      <c r="AG31" s="200"/>
      <c r="AH31" s="200"/>
      <c r="AI31" s="200"/>
      <c r="AJ31" s="200"/>
    </row>
    <row r="32" s="201" customFormat="1" customHeight="1" spans="1:36">
      <c r="A32" s="210" t="s">
        <v>9854</v>
      </c>
      <c r="B32" s="210" t="s">
        <v>9855</v>
      </c>
      <c r="C32" s="565" t="s">
        <v>9856</v>
      </c>
      <c r="D32" s="210" t="s">
        <v>9857</v>
      </c>
      <c r="E32" s="210" t="s">
        <v>9858</v>
      </c>
      <c r="F32" s="211">
        <v>5.11</v>
      </c>
      <c r="G32" s="212">
        <v>43671</v>
      </c>
      <c r="H32" s="210"/>
      <c r="I32" s="216">
        <v>124000</v>
      </c>
      <c r="J32" s="216">
        <v>94240</v>
      </c>
      <c r="K32" s="216"/>
      <c r="L32" s="216"/>
      <c r="M32" s="216"/>
      <c r="N32" s="216">
        <f t="shared" si="6"/>
        <v>218240</v>
      </c>
      <c r="O32" s="216">
        <f>I32</f>
        <v>124000</v>
      </c>
      <c r="P32" s="217" t="s">
        <v>9759</v>
      </c>
      <c r="Q32" s="216">
        <f t="shared" si="5"/>
        <v>94240</v>
      </c>
      <c r="R32" s="216">
        <v>124000</v>
      </c>
      <c r="S32" s="216">
        <v>44640</v>
      </c>
      <c r="T32" s="216"/>
      <c r="U32" s="216"/>
      <c r="V32" s="216">
        <v>168640</v>
      </c>
      <c r="W32" s="217" t="s">
        <v>9759</v>
      </c>
      <c r="X32" s="210" t="s">
        <v>9859</v>
      </c>
      <c r="Y32" s="216"/>
      <c r="Z32" s="217" t="s">
        <v>974</v>
      </c>
      <c r="AA32" s="231">
        <v>44889</v>
      </c>
      <c r="AB32" s="232"/>
      <c r="AC32" s="233"/>
      <c r="AD32" s="233"/>
      <c r="AE32" s="200"/>
      <c r="AF32" s="200"/>
      <c r="AG32" s="200"/>
      <c r="AH32" s="200"/>
      <c r="AI32" s="200"/>
      <c r="AJ32" s="200"/>
    </row>
    <row r="33" s="201" customFormat="1" customHeight="1" spans="1:36">
      <c r="A33" s="210" t="s">
        <v>9860</v>
      </c>
      <c r="B33" s="210" t="s">
        <v>9861</v>
      </c>
      <c r="C33" s="210"/>
      <c r="D33" s="210" t="s">
        <v>9862</v>
      </c>
      <c r="E33" s="210" t="s">
        <v>9863</v>
      </c>
      <c r="F33" s="211"/>
      <c r="G33" s="212">
        <v>43669</v>
      </c>
      <c r="H33" s="210"/>
      <c r="I33" s="216">
        <v>230000</v>
      </c>
      <c r="J33" s="216"/>
      <c r="K33" s="216"/>
      <c r="L33" s="216">
        <v>2251</v>
      </c>
      <c r="M33" s="216"/>
      <c r="N33" s="216">
        <f t="shared" si="6"/>
        <v>232251</v>
      </c>
      <c r="O33" s="216">
        <f>I33+L33</f>
        <v>232251</v>
      </c>
      <c r="P33" s="217"/>
      <c r="Q33" s="216">
        <f t="shared" si="5"/>
        <v>0</v>
      </c>
      <c r="R33" s="216">
        <v>230000</v>
      </c>
      <c r="S33" s="216"/>
      <c r="T33" s="216"/>
      <c r="U33" s="216">
        <v>2251</v>
      </c>
      <c r="V33" s="216">
        <v>232251</v>
      </c>
      <c r="W33" s="217" t="s">
        <v>9759</v>
      </c>
      <c r="X33" s="226" t="s">
        <v>9864</v>
      </c>
      <c r="Y33" s="216"/>
      <c r="Z33" s="217" t="s">
        <v>886</v>
      </c>
      <c r="AA33" s="231">
        <v>44891</v>
      </c>
      <c r="AB33" s="232"/>
      <c r="AC33" s="233"/>
      <c r="AD33" s="233"/>
      <c r="AE33" s="200"/>
      <c r="AF33" s="200"/>
      <c r="AG33" s="200"/>
      <c r="AH33" s="200"/>
      <c r="AI33" s="200"/>
      <c r="AJ33" s="200"/>
    </row>
  </sheetData>
  <autoFilter ref="A2:AJ33">
    <sortState ref="A2:AJ33">
      <sortCondition ref="A2:A36"/>
    </sortState>
    <extLst/>
  </autoFilter>
  <mergeCells count="5">
    <mergeCell ref="R1:V1"/>
    <mergeCell ref="A1:A2"/>
    <mergeCell ref="B1:B2"/>
    <mergeCell ref="C1:C2"/>
    <mergeCell ref="W1:W2"/>
  </mergeCells>
  <pageMargins left="0.75" right="0.75" top="1" bottom="1" header="0.5" footer="0.5"/>
  <pageSetup paperSize="9" orientation="portrait"/>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63"/>
  <sheetViews>
    <sheetView workbookViewId="0">
      <pane xSplit="3" ySplit="5" topLeftCell="D6" activePane="bottomRight" state="frozen"/>
      <selection/>
      <selection pane="topRight"/>
      <selection pane="bottomLeft"/>
      <selection pane="bottomRight" activeCell="C5" sqref="C5"/>
    </sheetView>
  </sheetViews>
  <sheetFormatPr defaultColWidth="8.72727272727273" defaultRowHeight="18" customHeight="1"/>
  <cols>
    <col min="1" max="1" width="5.46363636363636" style="96" customWidth="1"/>
    <col min="2" max="2" width="8" style="98" customWidth="1"/>
    <col min="3" max="3" width="23.9090909090909" style="149" customWidth="1"/>
    <col min="4" max="4" width="10" style="98" customWidth="1"/>
    <col min="5" max="5" width="13.1818181818182" style="188" customWidth="1"/>
    <col min="6" max="6" width="15.1818181818182" style="101" customWidth="1"/>
    <col min="7" max="7" width="13.5545454545455" style="101" customWidth="1"/>
    <col min="8" max="8" width="12.3636363636364" style="101" customWidth="1"/>
    <col min="9" max="9" width="12.5545454545455" style="101" customWidth="1"/>
    <col min="10" max="10" width="12.0909090909091" style="101" customWidth="1"/>
    <col min="11" max="11" width="10.7272727272727" style="101" customWidth="1"/>
    <col min="12" max="12" width="10.8181818181818" style="101" customWidth="1"/>
    <col min="13" max="13" width="13.2727272727273" style="101" customWidth="1"/>
    <col min="14" max="14" width="13.6363636363636" style="101" customWidth="1"/>
    <col min="15" max="15" width="11.3636363636364" style="100" customWidth="1"/>
    <col min="16" max="16384" width="8.72727272727273" style="96"/>
  </cols>
  <sheetData>
    <row r="1" s="187" customFormat="1" customHeight="1" spans="1:15">
      <c r="A1" s="189" t="s">
        <v>9865</v>
      </c>
      <c r="C1" s="98"/>
      <c r="D1" s="98"/>
      <c r="F1" s="190"/>
      <c r="G1" s="190"/>
      <c r="H1" s="190"/>
      <c r="I1" s="190"/>
      <c r="J1" s="190"/>
      <c r="K1" s="190"/>
      <c r="L1" s="190"/>
      <c r="M1" s="190"/>
      <c r="N1" s="190"/>
      <c r="O1" s="190"/>
    </row>
    <row r="2" s="187" customFormat="1" customHeight="1" spans="1:15">
      <c r="A2" s="191" t="s">
        <v>9866</v>
      </c>
      <c r="B2" s="191"/>
      <c r="C2" s="191"/>
      <c r="D2" s="191"/>
      <c r="E2" s="191"/>
      <c r="F2" s="191"/>
      <c r="G2" s="191"/>
      <c r="H2" s="191"/>
      <c r="I2" s="191"/>
      <c r="J2" s="191"/>
      <c r="K2" s="191"/>
      <c r="L2" s="191"/>
      <c r="M2" s="191"/>
      <c r="N2" s="191"/>
      <c r="O2" s="191"/>
    </row>
    <row r="3" s="187" customFormat="1" customHeight="1" spans="1:15">
      <c r="A3" s="191"/>
      <c r="B3" s="191"/>
      <c r="C3" s="191"/>
      <c r="D3" s="191"/>
      <c r="E3" s="191"/>
      <c r="F3" s="191"/>
      <c r="G3" s="191"/>
      <c r="H3" s="191"/>
      <c r="I3" s="191"/>
      <c r="J3" s="191"/>
      <c r="K3" s="191"/>
      <c r="L3" s="191"/>
      <c r="M3" s="191"/>
      <c r="N3" s="191"/>
      <c r="O3" s="191"/>
    </row>
    <row r="4" s="98" customFormat="1" customHeight="1" spans="1:15">
      <c r="A4" s="150" t="s">
        <v>9867</v>
      </c>
      <c r="B4" s="50" t="s">
        <v>9868</v>
      </c>
      <c r="C4" s="50" t="s">
        <v>9869</v>
      </c>
      <c r="D4" s="50"/>
      <c r="E4" s="50"/>
      <c r="F4" s="47" t="s">
        <v>9870</v>
      </c>
      <c r="G4" s="192" t="s">
        <v>9742</v>
      </c>
      <c r="H4" s="192"/>
      <c r="I4" s="192"/>
      <c r="J4" s="192"/>
      <c r="K4" s="192"/>
      <c r="L4" s="192"/>
      <c r="M4" s="192"/>
      <c r="N4" s="196" t="s">
        <v>9871</v>
      </c>
      <c r="O4" s="196" t="s">
        <v>9743</v>
      </c>
    </row>
    <row r="5" s="147" customFormat="1" ht="24" customHeight="1" spans="1:15">
      <c r="A5" s="150"/>
      <c r="B5" s="50"/>
      <c r="C5" s="50" t="s">
        <v>9872</v>
      </c>
      <c r="D5" s="150" t="s">
        <v>9873</v>
      </c>
      <c r="E5" s="150" t="s">
        <v>9874</v>
      </c>
      <c r="F5" s="47"/>
      <c r="G5" s="89" t="s">
        <v>9751</v>
      </c>
      <c r="H5" s="89" t="s">
        <v>9875</v>
      </c>
      <c r="I5" s="89" t="s">
        <v>9876</v>
      </c>
      <c r="J5" s="89" t="s">
        <v>9753</v>
      </c>
      <c r="K5" s="89" t="s">
        <v>28</v>
      </c>
      <c r="L5" s="89" t="s">
        <v>9747</v>
      </c>
      <c r="M5" s="89" t="s">
        <v>9877</v>
      </c>
      <c r="N5" s="197"/>
      <c r="O5" s="197"/>
    </row>
    <row r="6" s="96" customFormat="1" customHeight="1" spans="1:15">
      <c r="A6" s="106">
        <v>1</v>
      </c>
      <c r="B6" s="115" t="s">
        <v>9878</v>
      </c>
      <c r="C6" s="155" t="s">
        <v>9879</v>
      </c>
      <c r="D6" s="115" t="s">
        <v>9879</v>
      </c>
      <c r="E6" s="193" t="s">
        <v>9880</v>
      </c>
      <c r="F6" s="134">
        <v>500000</v>
      </c>
      <c r="G6" s="134"/>
      <c r="H6" s="134"/>
      <c r="I6" s="134"/>
      <c r="J6" s="134"/>
      <c r="K6" s="134"/>
      <c r="L6" s="134"/>
      <c r="M6" s="134"/>
      <c r="N6" s="134">
        <v>500000</v>
      </c>
      <c r="O6" s="133" t="s">
        <v>9881</v>
      </c>
    </row>
    <row r="7" s="94" customFormat="1" customHeight="1" spans="1:15">
      <c r="A7" s="106">
        <v>2</v>
      </c>
      <c r="B7" s="115" t="s">
        <v>9882</v>
      </c>
      <c r="C7" s="155" t="s">
        <v>9883</v>
      </c>
      <c r="D7" s="115" t="s">
        <v>8094</v>
      </c>
      <c r="E7" s="193" t="s">
        <v>9884</v>
      </c>
      <c r="F7" s="134">
        <v>1565000</v>
      </c>
      <c r="G7" s="134"/>
      <c r="H7" s="134"/>
      <c r="I7" s="134"/>
      <c r="J7" s="134"/>
      <c r="K7" s="134"/>
      <c r="L7" s="134"/>
      <c r="M7" s="134"/>
      <c r="N7" s="134">
        <v>1402666.67</v>
      </c>
      <c r="O7" s="133" t="s">
        <v>9881</v>
      </c>
    </row>
    <row r="8" s="96" customFormat="1" ht="25" customHeight="1" spans="1:15">
      <c r="A8" s="106">
        <v>3</v>
      </c>
      <c r="B8" s="115" t="s">
        <v>9885</v>
      </c>
      <c r="C8" s="155" t="s">
        <v>9886</v>
      </c>
      <c r="D8" s="115" t="s">
        <v>9886</v>
      </c>
      <c r="E8" s="175" t="s">
        <v>9887</v>
      </c>
      <c r="F8" s="134">
        <v>2073330</v>
      </c>
      <c r="G8" s="134"/>
      <c r="H8" s="134">
        <v>655000</v>
      </c>
      <c r="I8" s="134">
        <v>24772.65</v>
      </c>
      <c r="J8" s="134"/>
      <c r="K8" s="134"/>
      <c r="L8" s="134"/>
      <c r="M8" s="134">
        <v>679772.65</v>
      </c>
      <c r="N8" s="134"/>
      <c r="O8" s="133" t="s">
        <v>9759</v>
      </c>
    </row>
    <row r="9" s="96" customFormat="1" customHeight="1" spans="1:15">
      <c r="A9" s="106">
        <v>4</v>
      </c>
      <c r="B9" s="115" t="s">
        <v>9888</v>
      </c>
      <c r="C9" s="155" t="s">
        <v>9889</v>
      </c>
      <c r="D9" s="115" t="s">
        <v>9890</v>
      </c>
      <c r="E9" s="193" t="s">
        <v>9891</v>
      </c>
      <c r="F9" s="134">
        <v>1190000</v>
      </c>
      <c r="G9" s="134"/>
      <c r="H9" s="134"/>
      <c r="I9" s="134"/>
      <c r="J9" s="134"/>
      <c r="K9" s="134"/>
      <c r="L9" s="134"/>
      <c r="M9" s="134"/>
      <c r="N9" s="134">
        <v>639380.56</v>
      </c>
      <c r="O9" s="133" t="s">
        <v>9881</v>
      </c>
    </row>
    <row r="10" s="96" customFormat="1" ht="28" customHeight="1" spans="1:15">
      <c r="A10" s="106">
        <v>5</v>
      </c>
      <c r="B10" s="115" t="s">
        <v>9892</v>
      </c>
      <c r="C10" s="155" t="s">
        <v>9893</v>
      </c>
      <c r="D10" s="156" t="s">
        <v>9894</v>
      </c>
      <c r="E10" s="193" t="s">
        <v>9895</v>
      </c>
      <c r="F10" s="134">
        <v>5507568.56</v>
      </c>
      <c r="G10" s="134">
        <v>3733400</v>
      </c>
      <c r="H10" s="134"/>
      <c r="I10" s="134">
        <v>1352748.91</v>
      </c>
      <c r="J10" s="134">
        <v>358700.65</v>
      </c>
      <c r="K10" s="134"/>
      <c r="L10" s="134">
        <v>62719</v>
      </c>
      <c r="M10" s="134">
        <f>SUM(G10:L10)</f>
        <v>5507568.56</v>
      </c>
      <c r="N10" s="134"/>
      <c r="O10" s="133" t="s">
        <v>9759</v>
      </c>
    </row>
    <row r="11" s="96" customFormat="1" ht="28" customHeight="1" spans="1:15">
      <c r="A11" s="106">
        <v>6</v>
      </c>
      <c r="B11" s="115" t="s">
        <v>9896</v>
      </c>
      <c r="C11" s="155" t="s">
        <v>9897</v>
      </c>
      <c r="D11" s="115" t="s">
        <v>9898</v>
      </c>
      <c r="E11" s="193" t="s">
        <v>9899</v>
      </c>
      <c r="F11" s="134">
        <v>500000</v>
      </c>
      <c r="G11" s="134"/>
      <c r="H11" s="134"/>
      <c r="I11" s="134"/>
      <c r="J11" s="134"/>
      <c r="K11" s="134"/>
      <c r="L11" s="134"/>
      <c r="M11" s="134"/>
      <c r="N11" s="134">
        <v>500000</v>
      </c>
      <c r="O11" s="133" t="s">
        <v>9881</v>
      </c>
    </row>
    <row r="12" s="96" customFormat="1" ht="29" customHeight="1" spans="1:15">
      <c r="A12" s="106">
        <v>7</v>
      </c>
      <c r="B12" s="115" t="s">
        <v>9900</v>
      </c>
      <c r="C12" s="155" t="s">
        <v>9901</v>
      </c>
      <c r="D12" s="115" t="s">
        <v>9902</v>
      </c>
      <c r="E12" s="193" t="s">
        <v>9903</v>
      </c>
      <c r="F12" s="134">
        <v>4337655.2</v>
      </c>
      <c r="G12" s="134"/>
      <c r="H12" s="134"/>
      <c r="I12" s="134"/>
      <c r="J12" s="134"/>
      <c r="K12" s="134"/>
      <c r="L12" s="134"/>
      <c r="M12" s="134"/>
      <c r="N12" s="134">
        <v>4337655.2</v>
      </c>
      <c r="O12" s="133" t="s">
        <v>9881</v>
      </c>
    </row>
    <row r="13" s="96" customFormat="1" ht="28" customHeight="1" spans="1:15">
      <c r="A13" s="106">
        <v>8</v>
      </c>
      <c r="B13" s="115" t="s">
        <v>9904</v>
      </c>
      <c r="C13" s="155" t="s">
        <v>9905</v>
      </c>
      <c r="D13" s="115" t="s">
        <v>9894</v>
      </c>
      <c r="E13" s="193" t="s">
        <v>9895</v>
      </c>
      <c r="F13" s="134">
        <v>3902634.71</v>
      </c>
      <c r="G13" s="134">
        <v>3176600</v>
      </c>
      <c r="H13" s="134"/>
      <c r="I13" s="134">
        <v>434144.8</v>
      </c>
      <c r="J13" s="134">
        <v>235703.72</v>
      </c>
      <c r="K13" s="134"/>
      <c r="L13" s="134">
        <v>22077</v>
      </c>
      <c r="M13" s="134">
        <v>3868525.52</v>
      </c>
      <c r="N13" s="134"/>
      <c r="O13" s="133" t="s">
        <v>9759</v>
      </c>
    </row>
    <row r="14" s="96" customFormat="1" ht="25" customHeight="1" spans="1:15">
      <c r="A14" s="106">
        <v>9</v>
      </c>
      <c r="B14" s="115" t="s">
        <v>9906</v>
      </c>
      <c r="C14" s="155" t="s">
        <v>9905</v>
      </c>
      <c r="D14" s="115" t="s">
        <v>9907</v>
      </c>
      <c r="E14" s="175" t="s">
        <v>9908</v>
      </c>
      <c r="F14" s="134">
        <v>5007302.1</v>
      </c>
      <c r="G14" s="134">
        <v>3989262</v>
      </c>
      <c r="H14" s="134"/>
      <c r="I14" s="134">
        <v>551031.75</v>
      </c>
      <c r="J14" s="134">
        <v>494967.68</v>
      </c>
      <c r="K14" s="134">
        <v>-50000</v>
      </c>
      <c r="L14" s="134"/>
      <c r="M14" s="134">
        <v>4985261.43</v>
      </c>
      <c r="N14" s="134"/>
      <c r="O14" s="133" t="s">
        <v>9759</v>
      </c>
    </row>
    <row r="15" s="96" customFormat="1" ht="28" customHeight="1" spans="1:15">
      <c r="A15" s="106">
        <v>10</v>
      </c>
      <c r="B15" s="115" t="s">
        <v>9909</v>
      </c>
      <c r="C15" s="155" t="s">
        <v>9910</v>
      </c>
      <c r="D15" s="115" t="s">
        <v>9911</v>
      </c>
      <c r="E15" s="193" t="s">
        <v>9912</v>
      </c>
      <c r="F15" s="134">
        <v>640875</v>
      </c>
      <c r="G15" s="134"/>
      <c r="H15" s="134"/>
      <c r="I15" s="134"/>
      <c r="J15" s="134"/>
      <c r="K15" s="134"/>
      <c r="L15" s="134"/>
      <c r="M15" s="134">
        <v>0</v>
      </c>
      <c r="N15" s="134"/>
      <c r="O15" s="133" t="s">
        <v>9808</v>
      </c>
    </row>
    <row r="16" s="96" customFormat="1" ht="23" customHeight="1" spans="1:15">
      <c r="A16" s="106">
        <v>11</v>
      </c>
      <c r="B16" s="115" t="s">
        <v>9913</v>
      </c>
      <c r="C16" s="155" t="s">
        <v>9914</v>
      </c>
      <c r="D16" s="115" t="s">
        <v>9915</v>
      </c>
      <c r="E16" s="193" t="s">
        <v>9916</v>
      </c>
      <c r="F16" s="134">
        <v>1000000</v>
      </c>
      <c r="G16" s="134"/>
      <c r="H16" s="134"/>
      <c r="I16" s="134"/>
      <c r="J16" s="134"/>
      <c r="K16" s="134"/>
      <c r="L16" s="134"/>
      <c r="M16" s="134"/>
      <c r="N16" s="134">
        <v>1000000</v>
      </c>
      <c r="O16" s="133" t="s">
        <v>9881</v>
      </c>
    </row>
    <row r="17" s="96" customFormat="1" ht="28" customHeight="1" spans="1:15">
      <c r="A17" s="106">
        <v>12</v>
      </c>
      <c r="B17" s="115" t="s">
        <v>9917</v>
      </c>
      <c r="C17" s="155" t="s">
        <v>9918</v>
      </c>
      <c r="D17" s="115" t="s">
        <v>9919</v>
      </c>
      <c r="E17" s="193" t="s">
        <v>9920</v>
      </c>
      <c r="F17" s="134">
        <v>1110591</v>
      </c>
      <c r="G17" s="134"/>
      <c r="H17" s="169"/>
      <c r="I17" s="169"/>
      <c r="J17" s="169"/>
      <c r="K17" s="169"/>
      <c r="L17" s="169"/>
      <c r="M17" s="169"/>
      <c r="N17" s="134">
        <v>690000</v>
      </c>
      <c r="O17" s="133" t="s">
        <v>9881</v>
      </c>
    </row>
    <row r="18" s="96" customFormat="1" ht="26" customHeight="1" spans="1:15">
      <c r="A18" s="106">
        <v>13</v>
      </c>
      <c r="B18" s="115" t="s">
        <v>9921</v>
      </c>
      <c r="C18" s="155" t="s">
        <v>9918</v>
      </c>
      <c r="D18" s="115" t="s">
        <v>9919</v>
      </c>
      <c r="E18" s="193" t="s">
        <v>9920</v>
      </c>
      <c r="F18" s="134">
        <v>8927220</v>
      </c>
      <c r="G18" s="134"/>
      <c r="H18" s="169"/>
      <c r="I18" s="169"/>
      <c r="J18" s="169"/>
      <c r="K18" s="169"/>
      <c r="L18" s="169"/>
      <c r="M18" s="169"/>
      <c r="N18" s="134">
        <v>7457640</v>
      </c>
      <c r="O18" s="133" t="s">
        <v>9881</v>
      </c>
    </row>
    <row r="19" s="96" customFormat="1" ht="25" customHeight="1" spans="1:15">
      <c r="A19" s="106">
        <v>14</v>
      </c>
      <c r="B19" s="115" t="s">
        <v>9922</v>
      </c>
      <c r="C19" s="155" t="s">
        <v>9923</v>
      </c>
      <c r="D19" s="115" t="s">
        <v>9924</v>
      </c>
      <c r="E19" s="193" t="s">
        <v>9925</v>
      </c>
      <c r="F19" s="134">
        <v>8034480</v>
      </c>
      <c r="G19" s="134"/>
      <c r="H19" s="134">
        <v>3000000</v>
      </c>
      <c r="I19" s="134">
        <v>3000000</v>
      </c>
      <c r="J19" s="134"/>
      <c r="K19" s="134"/>
      <c r="L19" s="134"/>
      <c r="M19" s="134">
        <v>6000000</v>
      </c>
      <c r="N19" s="134"/>
      <c r="O19" s="133" t="s">
        <v>9759</v>
      </c>
    </row>
    <row r="20" s="96" customFormat="1" ht="27" customHeight="1" spans="1:15">
      <c r="A20" s="106">
        <v>15</v>
      </c>
      <c r="B20" s="115" t="s">
        <v>9926</v>
      </c>
      <c r="C20" s="155" t="s">
        <v>9927</v>
      </c>
      <c r="D20" s="115" t="s">
        <v>9928</v>
      </c>
      <c r="E20" s="193" t="s">
        <v>9929</v>
      </c>
      <c r="F20" s="134">
        <v>300000</v>
      </c>
      <c r="G20" s="134"/>
      <c r="H20" s="134"/>
      <c r="I20" s="134"/>
      <c r="J20" s="134"/>
      <c r="K20" s="134"/>
      <c r="L20" s="134"/>
      <c r="M20" s="134"/>
      <c r="N20" s="134">
        <v>300000</v>
      </c>
      <c r="O20" s="133" t="s">
        <v>9881</v>
      </c>
    </row>
    <row r="21" s="96" customFormat="1" customHeight="1" spans="1:15">
      <c r="A21" s="106">
        <v>16</v>
      </c>
      <c r="B21" s="115" t="s">
        <v>9930</v>
      </c>
      <c r="C21" s="155" t="s">
        <v>9931</v>
      </c>
      <c r="D21" s="143" t="s">
        <v>9932</v>
      </c>
      <c r="E21" s="193" t="s">
        <v>9933</v>
      </c>
      <c r="F21" s="134">
        <v>105000</v>
      </c>
      <c r="G21" s="134">
        <v>105000</v>
      </c>
      <c r="H21" s="134"/>
      <c r="I21" s="134"/>
      <c r="J21" s="134"/>
      <c r="K21" s="134"/>
      <c r="L21" s="134"/>
      <c r="M21" s="134">
        <v>105000</v>
      </c>
      <c r="N21" s="134"/>
      <c r="O21" s="133" t="s">
        <v>9759</v>
      </c>
    </row>
    <row r="22" s="96" customFormat="1" ht="27" customHeight="1" spans="1:15">
      <c r="A22" s="106">
        <v>17</v>
      </c>
      <c r="B22" s="115" t="s">
        <v>9934</v>
      </c>
      <c r="C22" s="155" t="s">
        <v>9935</v>
      </c>
      <c r="D22" s="143" t="s">
        <v>9936</v>
      </c>
      <c r="E22" s="193" t="s">
        <v>9937</v>
      </c>
      <c r="F22" s="134">
        <v>33634301.86</v>
      </c>
      <c r="G22" s="134"/>
      <c r="H22" s="134">
        <v>1000000</v>
      </c>
      <c r="I22" s="134"/>
      <c r="J22" s="134"/>
      <c r="K22" s="134"/>
      <c r="L22" s="134"/>
      <c r="M22" s="134">
        <v>1000000</v>
      </c>
      <c r="N22" s="134">
        <v>31057709.34</v>
      </c>
      <c r="O22" s="133" t="s">
        <v>9938</v>
      </c>
    </row>
    <row r="23" s="96" customFormat="1" customHeight="1" spans="1:15">
      <c r="A23" s="106">
        <v>18</v>
      </c>
      <c r="B23" s="115" t="s">
        <v>9939</v>
      </c>
      <c r="C23" s="155" t="s">
        <v>9940</v>
      </c>
      <c r="D23" s="115" t="s">
        <v>1459</v>
      </c>
      <c r="E23" s="193" t="s">
        <v>9941</v>
      </c>
      <c r="F23" s="134">
        <v>39272311.59</v>
      </c>
      <c r="G23" s="134"/>
      <c r="H23" s="134"/>
      <c r="I23" s="134"/>
      <c r="J23" s="134"/>
      <c r="K23" s="134"/>
      <c r="L23" s="134"/>
      <c r="M23" s="134"/>
      <c r="N23" s="134">
        <v>39272311.59</v>
      </c>
      <c r="O23" s="133" t="s">
        <v>9881</v>
      </c>
    </row>
    <row r="24" s="96" customFormat="1" ht="27" customHeight="1" spans="1:15">
      <c r="A24" s="106">
        <v>19</v>
      </c>
      <c r="B24" s="115" t="s">
        <v>9942</v>
      </c>
      <c r="C24" s="155" t="s">
        <v>9943</v>
      </c>
      <c r="D24" s="115" t="s">
        <v>9944</v>
      </c>
      <c r="E24" s="193" t="s">
        <v>9945</v>
      </c>
      <c r="F24" s="134">
        <v>3072007</v>
      </c>
      <c r="G24" s="134"/>
      <c r="H24" s="134"/>
      <c r="I24" s="134"/>
      <c r="J24" s="134"/>
      <c r="K24" s="134"/>
      <c r="L24" s="134"/>
      <c r="M24" s="134"/>
      <c r="N24" s="134">
        <v>3072007</v>
      </c>
      <c r="O24" s="133" t="s">
        <v>9881</v>
      </c>
    </row>
    <row r="25" s="96" customFormat="1" ht="26" customHeight="1" spans="1:15">
      <c r="A25" s="106">
        <v>20</v>
      </c>
      <c r="B25" s="115" t="s">
        <v>9946</v>
      </c>
      <c r="C25" s="155" t="s">
        <v>9947</v>
      </c>
      <c r="D25" s="115" t="s">
        <v>9944</v>
      </c>
      <c r="E25" s="193" t="s">
        <v>9945</v>
      </c>
      <c r="F25" s="134">
        <v>3663229</v>
      </c>
      <c r="G25" s="134"/>
      <c r="H25" s="134"/>
      <c r="I25" s="134"/>
      <c r="J25" s="134"/>
      <c r="K25" s="134"/>
      <c r="L25" s="134"/>
      <c r="N25" s="134">
        <v>3663229</v>
      </c>
      <c r="O25" s="133" t="s">
        <v>9881</v>
      </c>
    </row>
    <row r="26" s="96" customFormat="1" customHeight="1" spans="1:15">
      <c r="A26" s="106">
        <v>21</v>
      </c>
      <c r="B26" s="115" t="s">
        <v>9948</v>
      </c>
      <c r="C26" s="155" t="s">
        <v>9949</v>
      </c>
      <c r="D26" s="115" t="s">
        <v>9950</v>
      </c>
      <c r="E26" s="193" t="s">
        <v>9951</v>
      </c>
      <c r="F26" s="134">
        <v>2720790</v>
      </c>
      <c r="G26" s="134"/>
      <c r="H26" s="134"/>
      <c r="I26" s="134"/>
      <c r="J26" s="134"/>
      <c r="K26" s="134"/>
      <c r="L26" s="134"/>
      <c r="M26" s="134"/>
      <c r="N26" s="134">
        <v>2720790</v>
      </c>
      <c r="O26" s="133" t="s">
        <v>9881</v>
      </c>
    </row>
    <row r="27" s="96" customFormat="1" ht="27" customHeight="1" spans="1:15">
      <c r="A27" s="106">
        <v>22</v>
      </c>
      <c r="B27" s="115" t="s">
        <v>9952</v>
      </c>
      <c r="C27" s="155" t="s">
        <v>9953</v>
      </c>
      <c r="D27" s="115" t="s">
        <v>9954</v>
      </c>
      <c r="E27" s="193" t="s">
        <v>9955</v>
      </c>
      <c r="F27" s="134">
        <v>5737914.79</v>
      </c>
      <c r="G27" s="134"/>
      <c r="H27" s="134"/>
      <c r="I27" s="134"/>
      <c r="J27" s="134"/>
      <c r="K27" s="134"/>
      <c r="L27" s="134"/>
      <c r="M27" s="134"/>
      <c r="N27" s="134">
        <v>5737914.79</v>
      </c>
      <c r="O27" s="133" t="s">
        <v>9881</v>
      </c>
    </row>
    <row r="28" s="96" customFormat="1" ht="25" customHeight="1" spans="1:15">
      <c r="A28" s="106">
        <v>23</v>
      </c>
      <c r="B28" s="115" t="s">
        <v>9956</v>
      </c>
      <c r="C28" s="155" t="s">
        <v>9957</v>
      </c>
      <c r="D28" s="115" t="s">
        <v>9958</v>
      </c>
      <c r="E28" s="193" t="s">
        <v>9959</v>
      </c>
      <c r="F28" s="134">
        <v>7668559.67</v>
      </c>
      <c r="G28" s="134"/>
      <c r="H28" s="134"/>
      <c r="I28" s="134"/>
      <c r="J28" s="134"/>
      <c r="K28" s="134"/>
      <c r="L28" s="134"/>
      <c r="M28" s="134"/>
      <c r="N28" s="134">
        <v>7668559.67</v>
      </c>
      <c r="O28" s="133" t="s">
        <v>9881</v>
      </c>
    </row>
    <row r="29" s="96" customFormat="1" ht="27" customHeight="1" spans="1:15">
      <c r="A29" s="106">
        <v>24</v>
      </c>
      <c r="B29" s="115" t="s">
        <v>9960</v>
      </c>
      <c r="C29" s="155" t="s">
        <v>9961</v>
      </c>
      <c r="D29" s="115" t="s">
        <v>9962</v>
      </c>
      <c r="E29" s="193" t="s">
        <v>9963</v>
      </c>
      <c r="F29" s="134">
        <v>9830856.83</v>
      </c>
      <c r="G29" s="134"/>
      <c r="H29" s="134"/>
      <c r="I29" s="134"/>
      <c r="J29" s="134"/>
      <c r="K29" s="134"/>
      <c r="L29" s="134"/>
      <c r="M29" s="134"/>
      <c r="N29" s="134">
        <v>9830856.83</v>
      </c>
      <c r="O29" s="133" t="s">
        <v>9881</v>
      </c>
    </row>
    <row r="30" s="96" customFormat="1" ht="25" customHeight="1" spans="1:15">
      <c r="A30" s="106">
        <v>25</v>
      </c>
      <c r="B30" s="115" t="s">
        <v>9964</v>
      </c>
      <c r="C30" s="155" t="s">
        <v>9965</v>
      </c>
      <c r="D30" s="115" t="s">
        <v>9965</v>
      </c>
      <c r="E30" s="193" t="s">
        <v>9966</v>
      </c>
      <c r="F30" s="134">
        <v>1793000</v>
      </c>
      <c r="G30" s="134">
        <v>1000000</v>
      </c>
      <c r="H30" s="134"/>
      <c r="I30" s="134">
        <v>177375</v>
      </c>
      <c r="J30" s="134"/>
      <c r="K30" s="134"/>
      <c r="L30" s="134"/>
      <c r="M30" s="134">
        <v>1177375</v>
      </c>
      <c r="N30" s="134"/>
      <c r="O30" s="133" t="s">
        <v>9759</v>
      </c>
    </row>
    <row r="31" s="96" customFormat="1" customHeight="1" spans="1:15">
      <c r="A31" s="106">
        <v>26</v>
      </c>
      <c r="B31" s="115" t="s">
        <v>9967</v>
      </c>
      <c r="C31" s="155" t="s">
        <v>9965</v>
      </c>
      <c r="D31" s="115" t="s">
        <v>9965</v>
      </c>
      <c r="E31" s="193" t="s">
        <v>9966</v>
      </c>
      <c r="F31" s="134">
        <v>860000</v>
      </c>
      <c r="G31" s="134"/>
      <c r="H31" s="134"/>
      <c r="I31" s="134"/>
      <c r="J31" s="134"/>
      <c r="K31" s="134"/>
      <c r="L31" s="134"/>
      <c r="M31" s="134"/>
      <c r="N31" s="134"/>
      <c r="O31" s="133" t="s">
        <v>9808</v>
      </c>
    </row>
    <row r="32" s="96" customFormat="1" ht="25" customHeight="1" spans="1:15">
      <c r="A32" s="106">
        <v>27</v>
      </c>
      <c r="B32" s="115" t="s">
        <v>9968</v>
      </c>
      <c r="C32" s="155" t="s">
        <v>9969</v>
      </c>
      <c r="D32" s="115" t="s">
        <v>9970</v>
      </c>
      <c r="E32" s="193" t="s">
        <v>9971</v>
      </c>
      <c r="F32" s="134">
        <v>13190907.24</v>
      </c>
      <c r="G32" s="134"/>
      <c r="H32" s="134"/>
      <c r="I32" s="134"/>
      <c r="J32" s="134"/>
      <c r="K32" s="134"/>
      <c r="L32" s="134"/>
      <c r="M32" s="134"/>
      <c r="N32" s="134">
        <v>13190907.24</v>
      </c>
      <c r="O32" s="133" t="s">
        <v>9881</v>
      </c>
    </row>
    <row r="33" s="96" customFormat="1" ht="25" customHeight="1" spans="1:15">
      <c r="A33" s="106">
        <v>28</v>
      </c>
      <c r="B33" s="115" t="s">
        <v>9972</v>
      </c>
      <c r="C33" s="155" t="s">
        <v>9973</v>
      </c>
      <c r="D33" s="115" t="s">
        <v>9974</v>
      </c>
      <c r="E33" s="193" t="s">
        <v>9975</v>
      </c>
      <c r="F33" s="134">
        <v>136360721.18</v>
      </c>
      <c r="G33" s="134"/>
      <c r="H33" s="134"/>
      <c r="I33" s="134"/>
      <c r="J33" s="134"/>
      <c r="K33" s="134"/>
      <c r="L33" s="134"/>
      <c r="M33" s="134"/>
      <c r="N33" s="134">
        <v>136360721.18</v>
      </c>
      <c r="O33" s="133" t="s">
        <v>9881</v>
      </c>
    </row>
    <row r="34" s="93" customFormat="1" customHeight="1" spans="1:15">
      <c r="A34" s="106">
        <v>29</v>
      </c>
      <c r="B34" s="106" t="s">
        <v>9976</v>
      </c>
      <c r="C34" s="107" t="s">
        <v>9977</v>
      </c>
      <c r="D34" s="106" t="s">
        <v>9978</v>
      </c>
      <c r="E34" s="194" t="s">
        <v>9979</v>
      </c>
      <c r="F34" s="130">
        <v>126657705.37</v>
      </c>
      <c r="G34" s="130">
        <v>58813025.63</v>
      </c>
      <c r="H34" s="130"/>
      <c r="I34" s="130">
        <v>63301311.2</v>
      </c>
      <c r="J34" s="130"/>
      <c r="K34" s="130"/>
      <c r="L34" s="130">
        <v>391569.5</v>
      </c>
      <c r="M34" s="130">
        <v>122505906.33</v>
      </c>
      <c r="N34" s="130"/>
      <c r="O34" s="129" t="s">
        <v>9759</v>
      </c>
    </row>
    <row r="35" s="93" customFormat="1" customHeight="1" spans="1:15">
      <c r="A35" s="106">
        <v>30</v>
      </c>
      <c r="B35" s="106" t="s">
        <v>9980</v>
      </c>
      <c r="C35" s="107" t="s">
        <v>9981</v>
      </c>
      <c r="D35" s="106" t="s">
        <v>9982</v>
      </c>
      <c r="E35" s="194" t="s">
        <v>9983</v>
      </c>
      <c r="F35" s="130">
        <v>2607300</v>
      </c>
      <c r="G35" s="130">
        <v>74319</v>
      </c>
      <c r="H35" s="130"/>
      <c r="I35" s="130">
        <v>59565.85</v>
      </c>
      <c r="J35" s="130"/>
      <c r="K35" s="130"/>
      <c r="L35" s="130"/>
      <c r="M35" s="130">
        <v>133884.85</v>
      </c>
      <c r="N35" s="130"/>
      <c r="O35" s="129" t="s">
        <v>9759</v>
      </c>
    </row>
    <row r="36" s="93" customFormat="1" customHeight="1" spans="1:15">
      <c r="A36" s="106">
        <v>31</v>
      </c>
      <c r="B36" s="106" t="s">
        <v>9984</v>
      </c>
      <c r="C36" s="107" t="s">
        <v>9940</v>
      </c>
      <c r="D36" s="106" t="s">
        <v>4788</v>
      </c>
      <c r="E36" s="194" t="s">
        <v>9985</v>
      </c>
      <c r="F36" s="130">
        <v>759317.57</v>
      </c>
      <c r="G36" s="130">
        <v>696510.4</v>
      </c>
      <c r="H36" s="130"/>
      <c r="I36" s="130">
        <v>0</v>
      </c>
      <c r="J36" s="130"/>
      <c r="K36" s="130"/>
      <c r="L36" s="130"/>
      <c r="M36" s="130">
        <v>696510.4</v>
      </c>
      <c r="N36" s="130"/>
      <c r="O36" s="129" t="s">
        <v>9759</v>
      </c>
    </row>
    <row r="37" s="93" customFormat="1" customHeight="1" spans="1:15">
      <c r="A37" s="106">
        <v>32</v>
      </c>
      <c r="B37" s="106" t="s">
        <v>9986</v>
      </c>
      <c r="C37" s="107" t="s">
        <v>9987</v>
      </c>
      <c r="D37" s="106" t="s">
        <v>9988</v>
      </c>
      <c r="E37" s="194" t="s">
        <v>9989</v>
      </c>
      <c r="F37" s="130">
        <v>2940500</v>
      </c>
      <c r="G37" s="130">
        <v>0</v>
      </c>
      <c r="H37" s="130">
        <v>0</v>
      </c>
      <c r="I37" s="130"/>
      <c r="J37" s="130"/>
      <c r="K37" s="130"/>
      <c r="L37" s="130"/>
      <c r="M37" s="130">
        <v>0</v>
      </c>
      <c r="N37" s="130"/>
      <c r="O37" s="129" t="s">
        <v>9808</v>
      </c>
    </row>
    <row r="38" s="93" customFormat="1" customHeight="1" spans="1:15">
      <c r="A38" s="106">
        <v>33</v>
      </c>
      <c r="B38" s="106" t="s">
        <v>9990</v>
      </c>
      <c r="C38" s="107" t="s">
        <v>9991</v>
      </c>
      <c r="D38" s="107" t="s">
        <v>9991</v>
      </c>
      <c r="E38" s="194" t="s">
        <v>9992</v>
      </c>
      <c r="F38" s="130">
        <v>1100000</v>
      </c>
      <c r="G38" s="130"/>
      <c r="H38" s="130"/>
      <c r="I38" s="130"/>
      <c r="J38" s="130"/>
      <c r="K38" s="130"/>
      <c r="L38" s="130"/>
      <c r="M38" s="130">
        <v>0</v>
      </c>
      <c r="N38" s="130"/>
      <c r="O38" s="129" t="s">
        <v>9808</v>
      </c>
    </row>
    <row r="39" s="94" customFormat="1" ht="25" customHeight="1" spans="1:15">
      <c r="A39" s="106">
        <v>34</v>
      </c>
      <c r="B39" s="115" t="s">
        <v>9993</v>
      </c>
      <c r="C39" s="155" t="s">
        <v>9994</v>
      </c>
      <c r="D39" s="115" t="s">
        <v>9995</v>
      </c>
      <c r="E39" s="193" t="s">
        <v>9996</v>
      </c>
      <c r="F39" s="134">
        <v>600000</v>
      </c>
      <c r="G39" s="134"/>
      <c r="H39" s="134"/>
      <c r="I39" s="134"/>
      <c r="J39" s="134"/>
      <c r="K39" s="134"/>
      <c r="L39" s="134"/>
      <c r="M39" s="134"/>
      <c r="N39" s="134">
        <v>600000</v>
      </c>
      <c r="O39" s="133" t="s">
        <v>9881</v>
      </c>
    </row>
    <row r="40" s="94" customFormat="1" ht="25" customHeight="1" spans="1:15">
      <c r="A40" s="106">
        <v>35</v>
      </c>
      <c r="B40" s="115" t="s">
        <v>9997</v>
      </c>
      <c r="C40" s="155" t="s">
        <v>9998</v>
      </c>
      <c r="D40" s="115" t="s">
        <v>9999</v>
      </c>
      <c r="E40" s="193" t="s">
        <v>10000</v>
      </c>
      <c r="F40" s="134">
        <v>4452810</v>
      </c>
      <c r="G40" s="134"/>
      <c r="H40" s="134"/>
      <c r="I40" s="134"/>
      <c r="J40" s="134"/>
      <c r="K40" s="134"/>
      <c r="L40" s="134"/>
      <c r="M40" s="134"/>
      <c r="N40" s="134">
        <v>4452810</v>
      </c>
      <c r="O40" s="133" t="s">
        <v>9881</v>
      </c>
    </row>
    <row r="41" s="94" customFormat="1" customHeight="1" spans="1:15">
      <c r="A41" s="106">
        <v>36</v>
      </c>
      <c r="B41" s="115" t="s">
        <v>10001</v>
      </c>
      <c r="C41" s="155" t="s">
        <v>10002</v>
      </c>
      <c r="D41" s="115" t="s">
        <v>10003</v>
      </c>
      <c r="E41" s="193" t="s">
        <v>10004</v>
      </c>
      <c r="F41" s="134">
        <v>3543935</v>
      </c>
      <c r="G41" s="134">
        <v>3543935</v>
      </c>
      <c r="H41" s="134"/>
      <c r="I41" s="134"/>
      <c r="J41" s="134"/>
      <c r="K41" s="134"/>
      <c r="L41" s="134"/>
      <c r="M41" s="134">
        <v>3543935</v>
      </c>
      <c r="N41" s="134"/>
      <c r="O41" s="133" t="s">
        <v>9759</v>
      </c>
    </row>
    <row r="42" s="94" customFormat="1" customHeight="1" spans="1:15">
      <c r="A42" s="106">
        <v>37</v>
      </c>
      <c r="B42" s="115" t="s">
        <v>10005</v>
      </c>
      <c r="C42" s="155" t="s">
        <v>10006</v>
      </c>
      <c r="D42" s="115" t="s">
        <v>10007</v>
      </c>
      <c r="E42" s="193" t="s">
        <v>10008</v>
      </c>
      <c r="F42" s="134">
        <v>32000</v>
      </c>
      <c r="G42" s="134">
        <v>32000</v>
      </c>
      <c r="H42" s="134"/>
      <c r="I42" s="134"/>
      <c r="J42" s="134"/>
      <c r="K42" s="134"/>
      <c r="L42" s="134"/>
      <c r="M42" s="134">
        <v>32000</v>
      </c>
      <c r="N42" s="134"/>
      <c r="O42" s="133" t="s">
        <v>9759</v>
      </c>
    </row>
    <row r="43" s="94" customFormat="1" customHeight="1" spans="1:15">
      <c r="A43" s="106">
        <v>38</v>
      </c>
      <c r="B43" s="115" t="s">
        <v>10009</v>
      </c>
      <c r="C43" s="155" t="s">
        <v>10010</v>
      </c>
      <c r="D43" s="115" t="s">
        <v>10011</v>
      </c>
      <c r="E43" s="193" t="s">
        <v>10012</v>
      </c>
      <c r="F43" s="134">
        <v>1048290</v>
      </c>
      <c r="G43" s="134">
        <v>0</v>
      </c>
      <c r="H43" s="134"/>
      <c r="I43" s="134"/>
      <c r="J43" s="134"/>
      <c r="K43" s="134"/>
      <c r="L43" s="134"/>
      <c r="M43" s="134">
        <v>0</v>
      </c>
      <c r="N43" s="134"/>
      <c r="O43" s="133" t="s">
        <v>9808</v>
      </c>
    </row>
    <row r="44" s="94" customFormat="1" customHeight="1" spans="1:15">
      <c r="A44" s="106">
        <v>39</v>
      </c>
      <c r="B44" s="115" t="s">
        <v>10013</v>
      </c>
      <c r="C44" s="155" t="s">
        <v>10014</v>
      </c>
      <c r="D44" s="115" t="s">
        <v>10015</v>
      </c>
      <c r="E44" s="193" t="s">
        <v>10016</v>
      </c>
      <c r="F44" s="134">
        <v>1006986.3</v>
      </c>
      <c r="G44" s="134"/>
      <c r="H44" s="134"/>
      <c r="I44" s="134"/>
      <c r="J44" s="134"/>
      <c r="K44" s="134"/>
      <c r="L44" s="134"/>
      <c r="M44" s="134">
        <v>0</v>
      </c>
      <c r="N44" s="134"/>
      <c r="O44" s="133" t="s">
        <v>9808</v>
      </c>
    </row>
    <row r="45" s="94" customFormat="1" ht="28" customHeight="1" spans="1:15">
      <c r="A45" s="106">
        <v>40</v>
      </c>
      <c r="B45" s="115" t="s">
        <v>10017</v>
      </c>
      <c r="C45" s="155" t="s">
        <v>10018</v>
      </c>
      <c r="D45" s="115" t="s">
        <v>10019</v>
      </c>
      <c r="E45" s="193" t="s">
        <v>10020</v>
      </c>
      <c r="F45" s="134">
        <v>24212961.01</v>
      </c>
      <c r="G45" s="176"/>
      <c r="H45" s="176"/>
      <c r="I45" s="176"/>
      <c r="J45" s="176"/>
      <c r="K45" s="176"/>
      <c r="L45" s="176"/>
      <c r="M45" s="176"/>
      <c r="N45" s="134">
        <v>24212961.01</v>
      </c>
      <c r="O45" s="198" t="s">
        <v>9881</v>
      </c>
    </row>
    <row r="46" s="96" customFormat="1" ht="41" customHeight="1" spans="1:15">
      <c r="A46" s="106">
        <v>41</v>
      </c>
      <c r="B46" s="115" t="s">
        <v>10021</v>
      </c>
      <c r="C46" s="155" t="s">
        <v>9897</v>
      </c>
      <c r="D46" s="115" t="s">
        <v>9898</v>
      </c>
      <c r="E46" s="193" t="s">
        <v>9899</v>
      </c>
      <c r="F46" s="134">
        <v>0</v>
      </c>
      <c r="G46" s="176"/>
      <c r="H46" s="176"/>
      <c r="I46" s="176"/>
      <c r="J46" s="176"/>
      <c r="K46" s="176"/>
      <c r="L46" s="176"/>
      <c r="M46" s="176"/>
      <c r="N46" s="176"/>
      <c r="O46" s="198" t="s">
        <v>9881</v>
      </c>
    </row>
    <row r="47" s="93" customFormat="1" customHeight="1" spans="1:15">
      <c r="A47" s="106">
        <v>42</v>
      </c>
      <c r="B47" s="106" t="s">
        <v>10022</v>
      </c>
      <c r="C47" s="107" t="s">
        <v>10023</v>
      </c>
      <c r="D47" s="195" t="s">
        <v>10024</v>
      </c>
      <c r="E47" s="120" t="s">
        <v>10025</v>
      </c>
      <c r="F47" s="130">
        <v>200000</v>
      </c>
      <c r="G47" s="130">
        <v>200000</v>
      </c>
      <c r="H47" s="130"/>
      <c r="I47" s="130"/>
      <c r="J47" s="130"/>
      <c r="K47" s="130"/>
      <c r="L47" s="130"/>
      <c r="M47" s="130">
        <v>200000</v>
      </c>
      <c r="N47" s="130"/>
      <c r="O47" s="129" t="s">
        <v>9759</v>
      </c>
    </row>
    <row r="48" s="93" customFormat="1" customHeight="1" spans="1:15">
      <c r="A48" s="106">
        <v>43</v>
      </c>
      <c r="B48" s="106" t="s">
        <v>10026</v>
      </c>
      <c r="C48" s="107" t="s">
        <v>10027</v>
      </c>
      <c r="D48" s="195" t="s">
        <v>10028</v>
      </c>
      <c r="E48" s="120" t="s">
        <v>10029</v>
      </c>
      <c r="F48" s="130">
        <v>1586421.83</v>
      </c>
      <c r="G48" s="130">
        <v>1420000</v>
      </c>
      <c r="H48" s="130"/>
      <c r="I48" s="130"/>
      <c r="J48" s="130">
        <v>157328.11</v>
      </c>
      <c r="K48" s="130">
        <v>8790</v>
      </c>
      <c r="L48" s="130"/>
      <c r="M48" s="130">
        <v>1586118.11</v>
      </c>
      <c r="N48" s="130"/>
      <c r="O48" s="129" t="s">
        <v>9759</v>
      </c>
    </row>
    <row r="49" s="93" customFormat="1" customHeight="1" spans="1:15">
      <c r="A49" s="106">
        <v>44</v>
      </c>
      <c r="B49" s="106" t="s">
        <v>10030</v>
      </c>
      <c r="C49" s="107" t="s">
        <v>10031</v>
      </c>
      <c r="D49" s="195" t="s">
        <v>10032</v>
      </c>
      <c r="E49" s="120" t="s">
        <v>10033</v>
      </c>
      <c r="F49" s="130">
        <v>33624442.22</v>
      </c>
      <c r="G49" s="130">
        <v>29533861</v>
      </c>
      <c r="H49" s="130"/>
      <c r="I49" s="130">
        <v>2191986.75</v>
      </c>
      <c r="J49" s="130">
        <v>1705580.47</v>
      </c>
      <c r="K49" s="130">
        <v>193014</v>
      </c>
      <c r="L49" s="130"/>
      <c r="M49" s="130">
        <v>33624442.22</v>
      </c>
      <c r="N49" s="130"/>
      <c r="O49" s="129" t="s">
        <v>9759</v>
      </c>
    </row>
    <row r="50" s="93" customFormat="1" ht="28" customHeight="1" spans="1:15">
      <c r="A50" s="106">
        <v>45</v>
      </c>
      <c r="B50" s="106" t="s">
        <v>10034</v>
      </c>
      <c r="C50" s="107" t="s">
        <v>10035</v>
      </c>
      <c r="D50" s="195" t="s">
        <v>10036</v>
      </c>
      <c r="E50" s="120" t="s">
        <v>10037</v>
      </c>
      <c r="F50" s="130">
        <v>5669382.11</v>
      </c>
      <c r="G50" s="130">
        <v>4921413</v>
      </c>
      <c r="H50" s="130"/>
      <c r="I50" s="130">
        <v>429475.31</v>
      </c>
      <c r="J50" s="130">
        <v>289379</v>
      </c>
      <c r="K50" s="130">
        <v>23086</v>
      </c>
      <c r="L50" s="130"/>
      <c r="M50" s="130">
        <v>5663353.31</v>
      </c>
      <c r="N50" s="130"/>
      <c r="O50" s="129" t="s">
        <v>9759</v>
      </c>
    </row>
    <row r="51" s="93" customFormat="1" customHeight="1" spans="1:15">
      <c r="A51" s="106">
        <v>46</v>
      </c>
      <c r="B51" s="106" t="s">
        <v>10038</v>
      </c>
      <c r="C51" s="107" t="s">
        <v>10039</v>
      </c>
      <c r="D51" s="195" t="s">
        <v>10040</v>
      </c>
      <c r="E51" s="120" t="s">
        <v>10041</v>
      </c>
      <c r="F51" s="130">
        <v>932264.54</v>
      </c>
      <c r="G51" s="130">
        <v>858600</v>
      </c>
      <c r="H51" s="130"/>
      <c r="I51" s="130">
        <v>50540.54</v>
      </c>
      <c r="J51" s="130"/>
      <c r="K51" s="130">
        <v>23124</v>
      </c>
      <c r="L51" s="130"/>
      <c r="M51" s="130">
        <v>932264.54</v>
      </c>
      <c r="N51" s="130"/>
      <c r="O51" s="129" t="s">
        <v>9759</v>
      </c>
    </row>
    <row r="52" s="93" customFormat="1" ht="28" customHeight="1" spans="1:15">
      <c r="A52" s="106">
        <v>47</v>
      </c>
      <c r="B52" s="106" t="s">
        <v>10042</v>
      </c>
      <c r="C52" s="107" t="s">
        <v>10043</v>
      </c>
      <c r="D52" s="195" t="s">
        <v>10044</v>
      </c>
      <c r="E52" s="120" t="s">
        <v>10045</v>
      </c>
      <c r="F52" s="130">
        <v>550000</v>
      </c>
      <c r="G52" s="130">
        <v>550000</v>
      </c>
      <c r="H52" s="130"/>
      <c r="I52" s="130"/>
      <c r="J52" s="130"/>
      <c r="K52" s="130"/>
      <c r="L52" s="130"/>
      <c r="M52" s="130">
        <v>550000</v>
      </c>
      <c r="N52" s="130"/>
      <c r="O52" s="129" t="s">
        <v>9759</v>
      </c>
    </row>
    <row r="53" s="93" customFormat="1" customHeight="1" spans="1:15">
      <c r="A53" s="106">
        <v>48</v>
      </c>
      <c r="B53" s="106" t="s">
        <v>10046</v>
      </c>
      <c r="C53" s="107" t="s">
        <v>10047</v>
      </c>
      <c r="D53" s="195" t="s">
        <v>10047</v>
      </c>
      <c r="E53" s="120" t="s">
        <v>10048</v>
      </c>
      <c r="F53" s="130">
        <v>40000</v>
      </c>
      <c r="G53" s="130">
        <v>40000</v>
      </c>
      <c r="H53" s="130"/>
      <c r="I53" s="130"/>
      <c r="J53" s="130"/>
      <c r="K53" s="130"/>
      <c r="L53" s="130"/>
      <c r="M53" s="130">
        <v>40000</v>
      </c>
      <c r="N53" s="130"/>
      <c r="O53" s="129" t="s">
        <v>9759</v>
      </c>
    </row>
    <row r="54" s="93" customFormat="1" ht="27" customHeight="1" spans="1:15">
      <c r="A54" s="106">
        <v>49</v>
      </c>
      <c r="B54" s="106" t="s">
        <v>10049</v>
      </c>
      <c r="C54" s="107" t="s">
        <v>10050</v>
      </c>
      <c r="D54" s="195" t="s">
        <v>10051</v>
      </c>
      <c r="E54" s="120" t="s">
        <v>10052</v>
      </c>
      <c r="F54" s="130">
        <v>160144</v>
      </c>
      <c r="G54" s="130"/>
      <c r="H54" s="130"/>
      <c r="I54" s="130"/>
      <c r="J54" s="130"/>
      <c r="K54" s="130"/>
      <c r="L54" s="130"/>
      <c r="M54" s="130">
        <v>0</v>
      </c>
      <c r="N54" s="130"/>
      <c r="O54" s="129" t="s">
        <v>9808</v>
      </c>
    </row>
    <row r="55" s="93" customFormat="1" ht="28" customHeight="1" spans="1:15">
      <c r="A55" s="106">
        <v>50</v>
      </c>
      <c r="B55" s="106" t="s">
        <v>10053</v>
      </c>
      <c r="C55" s="107" t="s">
        <v>10054</v>
      </c>
      <c r="D55" s="195" t="s">
        <v>10055</v>
      </c>
      <c r="E55" s="120" t="s">
        <v>10056</v>
      </c>
      <c r="F55" s="130">
        <v>10123219.07</v>
      </c>
      <c r="G55" s="130">
        <v>755275.39</v>
      </c>
      <c r="H55" s="130"/>
      <c r="I55" s="130">
        <v>83618</v>
      </c>
      <c r="J55" s="130"/>
      <c r="K55" s="130">
        <v>4241</v>
      </c>
      <c r="L55" s="130"/>
      <c r="M55" s="130">
        <v>843134.39</v>
      </c>
      <c r="N55" s="130"/>
      <c r="O55" s="129" t="s">
        <v>9759</v>
      </c>
    </row>
    <row r="56" s="93" customFormat="1" ht="28" customHeight="1" spans="1:15">
      <c r="A56" s="106">
        <v>51</v>
      </c>
      <c r="B56" s="106" t="s">
        <v>10057</v>
      </c>
      <c r="C56" s="107" t="s">
        <v>10058</v>
      </c>
      <c r="D56" s="195" t="s">
        <v>10028</v>
      </c>
      <c r="E56" s="120" t="s">
        <v>10029</v>
      </c>
      <c r="F56" s="130">
        <v>1367340</v>
      </c>
      <c r="G56" s="130">
        <v>1250000</v>
      </c>
      <c r="H56" s="130"/>
      <c r="I56" s="130">
        <v>16187.5</v>
      </c>
      <c r="J56" s="130"/>
      <c r="K56" s="130"/>
      <c r="L56" s="130"/>
      <c r="M56" s="130">
        <v>1266187.5</v>
      </c>
      <c r="N56" s="130"/>
      <c r="O56" s="129" t="s">
        <v>9759</v>
      </c>
    </row>
    <row r="57" s="93" customFormat="1" customHeight="1" spans="1:15">
      <c r="A57" s="106">
        <v>52</v>
      </c>
      <c r="B57" s="106" t="s">
        <v>10059</v>
      </c>
      <c r="C57" s="107" t="s">
        <v>126</v>
      </c>
      <c r="D57" s="195" t="s">
        <v>126</v>
      </c>
      <c r="E57" s="120" t="s">
        <v>10060</v>
      </c>
      <c r="F57" s="130">
        <v>123226.17</v>
      </c>
      <c r="G57" s="130"/>
      <c r="H57" s="130"/>
      <c r="I57" s="130"/>
      <c r="J57" s="130"/>
      <c r="K57" s="130"/>
      <c r="L57" s="130"/>
      <c r="M57" s="130">
        <v>0</v>
      </c>
      <c r="N57" s="130"/>
      <c r="O57" s="129" t="s">
        <v>9808</v>
      </c>
    </row>
    <row r="58" s="93" customFormat="1" customHeight="1" spans="1:15">
      <c r="A58" s="106">
        <v>53</v>
      </c>
      <c r="B58" s="106" t="s">
        <v>10061</v>
      </c>
      <c r="C58" s="107" t="s">
        <v>10062</v>
      </c>
      <c r="D58" s="195" t="s">
        <v>10062</v>
      </c>
      <c r="E58" s="120" t="s">
        <v>10063</v>
      </c>
      <c r="F58" s="130">
        <v>147828.43</v>
      </c>
      <c r="G58" s="130">
        <v>92832.43</v>
      </c>
      <c r="H58" s="130"/>
      <c r="I58" s="130"/>
      <c r="J58" s="130"/>
      <c r="K58" s="130"/>
      <c r="L58" s="130"/>
      <c r="M58" s="130">
        <v>92832.43</v>
      </c>
      <c r="N58" s="130"/>
      <c r="O58" s="129" t="s">
        <v>9759</v>
      </c>
    </row>
    <row r="59" s="93" customFormat="1" ht="28" customHeight="1" spans="1:15">
      <c r="A59" s="106">
        <v>54</v>
      </c>
      <c r="B59" s="106" t="s">
        <v>10064</v>
      </c>
      <c r="C59" s="107" t="s">
        <v>10065</v>
      </c>
      <c r="D59" s="195" t="s">
        <v>10066</v>
      </c>
      <c r="E59" s="120" t="s">
        <v>10067</v>
      </c>
      <c r="F59" s="130">
        <v>26981871.83</v>
      </c>
      <c r="G59" s="130"/>
      <c r="H59" s="130"/>
      <c r="I59" s="130"/>
      <c r="J59" s="130"/>
      <c r="K59" s="130"/>
      <c r="L59" s="130"/>
      <c r="M59" s="130">
        <v>0</v>
      </c>
      <c r="N59" s="130"/>
      <c r="O59" s="129" t="s">
        <v>9808</v>
      </c>
    </row>
    <row r="60" s="93" customFormat="1" customHeight="1" spans="1:15">
      <c r="A60" s="106">
        <v>55</v>
      </c>
      <c r="B60" s="106" t="s">
        <v>10068</v>
      </c>
      <c r="C60" s="107" t="s">
        <v>10069</v>
      </c>
      <c r="D60" s="195" t="s">
        <v>10070</v>
      </c>
      <c r="E60" s="120" t="s">
        <v>10071</v>
      </c>
      <c r="F60" s="130">
        <v>5116</v>
      </c>
      <c r="G60" s="130">
        <v>5116</v>
      </c>
      <c r="H60" s="130"/>
      <c r="I60" s="130"/>
      <c r="J60" s="130"/>
      <c r="K60" s="130"/>
      <c r="L60" s="130"/>
      <c r="M60" s="130">
        <v>5116</v>
      </c>
      <c r="N60" s="130"/>
      <c r="O60" s="129" t="s">
        <v>9759</v>
      </c>
    </row>
    <row r="61" s="93" customFormat="1" ht="28" customHeight="1" spans="1:15">
      <c r="A61" s="106">
        <v>56</v>
      </c>
      <c r="B61" s="106" t="s">
        <v>10072</v>
      </c>
      <c r="C61" s="107" t="s">
        <v>10073</v>
      </c>
      <c r="D61" s="195" t="s">
        <v>10074</v>
      </c>
      <c r="E61" s="120" t="s">
        <v>10075</v>
      </c>
      <c r="F61" s="130">
        <v>500000</v>
      </c>
      <c r="G61" s="130"/>
      <c r="H61" s="130"/>
      <c r="I61" s="130"/>
      <c r="J61" s="130"/>
      <c r="K61" s="130"/>
      <c r="L61" s="130"/>
      <c r="M61" s="130">
        <v>0</v>
      </c>
      <c r="N61" s="130"/>
      <c r="O61" s="129" t="s">
        <v>9808</v>
      </c>
    </row>
    <row r="62" s="93" customFormat="1" customHeight="1" spans="1:15">
      <c r="A62" s="106">
        <v>57</v>
      </c>
      <c r="B62" s="106" t="s">
        <v>10076</v>
      </c>
      <c r="C62" s="107" t="s">
        <v>10077</v>
      </c>
      <c r="D62" s="195" t="s">
        <v>10078</v>
      </c>
      <c r="E62" s="120" t="s">
        <v>10079</v>
      </c>
      <c r="F62" s="130">
        <v>8610431.2</v>
      </c>
      <c r="G62" s="130">
        <v>5160800</v>
      </c>
      <c r="H62" s="130"/>
      <c r="I62" s="130">
        <v>2427296.27</v>
      </c>
      <c r="J62" s="130">
        <v>0</v>
      </c>
      <c r="K62" s="130">
        <v>0</v>
      </c>
      <c r="L62" s="130">
        <v>31027</v>
      </c>
      <c r="M62" s="130">
        <v>7619123.27</v>
      </c>
      <c r="N62" s="130"/>
      <c r="O62" s="129" t="s">
        <v>9759</v>
      </c>
    </row>
    <row r="63" s="93" customFormat="1" customHeight="1" spans="1:15">
      <c r="A63" s="106">
        <v>58</v>
      </c>
      <c r="B63" s="106" t="s">
        <v>10080</v>
      </c>
      <c r="C63" s="107" t="s">
        <v>10081</v>
      </c>
      <c r="D63" s="195" t="s">
        <v>10078</v>
      </c>
      <c r="E63" s="120" t="s">
        <v>10079</v>
      </c>
      <c r="F63" s="130">
        <v>7308052.36</v>
      </c>
      <c r="G63" s="130">
        <v>5974990.4</v>
      </c>
      <c r="H63" s="130"/>
      <c r="I63" s="130">
        <v>597500</v>
      </c>
      <c r="J63" s="130">
        <v>635738.98</v>
      </c>
      <c r="K63" s="130">
        <v>0</v>
      </c>
      <c r="L63" s="130">
        <v>32763</v>
      </c>
      <c r="M63" s="130">
        <v>7240992.38</v>
      </c>
      <c r="N63" s="130"/>
      <c r="O63" s="129" t="s">
        <v>9759</v>
      </c>
    </row>
  </sheetData>
  <mergeCells count="8">
    <mergeCell ref="C4:E4"/>
    <mergeCell ref="G4:M4"/>
    <mergeCell ref="A4:A5"/>
    <mergeCell ref="B4:B5"/>
    <mergeCell ref="F4:F5"/>
    <mergeCell ref="N4:N5"/>
    <mergeCell ref="O4:O5"/>
    <mergeCell ref="A2:O3"/>
  </mergeCells>
  <conditionalFormatting sqref="B47:B63">
    <cfRule type="duplicateValues" dxfId="1" priority="1"/>
  </conditionalFormatting>
  <pageMargins left="0.590277777777778" right="0.314583333333333" top="0.786805555555556" bottom="0.472222222222222" header="0.5" footer="0.236111111111111"/>
  <pageSetup paperSize="9" scale="75" fitToHeight="0" orientation="landscape" horizontalDpi="600"/>
  <headerFooter>
    <oddFooter>&amp;L工程款项申报及确认明细表&amp;C第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U19"/>
  <sheetViews>
    <sheetView workbookViewId="0">
      <pane xSplit="4" ySplit="2" topLeftCell="AK3" activePane="bottomRight" state="frozen"/>
      <selection/>
      <selection pane="topRight"/>
      <selection pane="bottomLeft"/>
      <selection pane="bottomRight" activeCell="AL3" sqref="AL3:AL19"/>
    </sheetView>
  </sheetViews>
  <sheetFormatPr defaultColWidth="8.72727272727273" defaultRowHeight="18" customHeight="1"/>
  <cols>
    <col min="1" max="1" width="6.81818181818182" style="98" customWidth="1"/>
    <col min="2" max="2" width="7.90909090909091" style="96" customWidth="1"/>
    <col min="3" max="3" width="13.9090909090909" style="96" customWidth="1"/>
    <col min="4" max="4" width="27.9090909090909" style="96" customWidth="1"/>
    <col min="5" max="5" width="13.1363636363636" style="96" customWidth="1"/>
    <col min="6" max="6" width="14" style="96" customWidth="1"/>
    <col min="7" max="8" width="13.5545454545455" style="101" customWidth="1"/>
    <col min="9" max="9" width="11" style="101" customWidth="1"/>
    <col min="10" max="10" width="13.5545454545455" style="101" customWidth="1"/>
    <col min="11" max="11" width="12.3636363636364" style="101" customWidth="1"/>
    <col min="12" max="12" width="14" style="101" customWidth="1"/>
    <col min="13" max="13" width="12" style="101" customWidth="1"/>
    <col min="14" max="14" width="13.5545454545455" style="101" customWidth="1"/>
    <col min="15" max="15" width="8.72727272727273" style="96" customWidth="1"/>
    <col min="16" max="16" width="15" style="96" customWidth="1"/>
    <col min="17" max="17" width="10.9090909090909" style="96" customWidth="1"/>
    <col min="18" max="18" width="14" style="96" customWidth="1"/>
    <col min="19" max="19" width="12.3636363636364" style="101" customWidth="1"/>
    <col min="20" max="20" width="10.8181818181818" style="101" customWidth="1"/>
    <col min="21" max="21" width="7.88181818181818" style="101" customWidth="1"/>
    <col min="22" max="22" width="12" style="101" customWidth="1"/>
    <col min="23" max="31" width="13.5545454545455" style="101" customWidth="1"/>
    <col min="32" max="36" width="13.5545454545455" style="101" hidden="1" customWidth="1"/>
    <col min="37" max="38" width="13.5545454545455" style="101" customWidth="1"/>
    <col min="39" max="39" width="15.3636363636364" style="96" customWidth="1"/>
    <col min="40" max="40" width="7" style="96" customWidth="1"/>
    <col min="41" max="41" width="11.1818181818182" style="102" customWidth="1"/>
    <col min="42" max="43" width="11.5545454545455" style="96" customWidth="1"/>
    <col min="44" max="44" width="15.6363636363636" style="96" customWidth="1"/>
    <col min="45" max="46" width="12.8181818181818" style="96"/>
    <col min="47" max="16384" width="8.72727272727273" style="96"/>
  </cols>
  <sheetData>
    <row r="1" s="96" customFormat="1" customHeight="1" spans="1:47">
      <c r="A1" s="50" t="s">
        <v>9868</v>
      </c>
      <c r="B1" s="150" t="s">
        <v>9873</v>
      </c>
      <c r="C1" s="150" t="s">
        <v>9874</v>
      </c>
      <c r="D1" s="150" t="s">
        <v>9869</v>
      </c>
      <c r="E1" s="150"/>
      <c r="F1" s="150"/>
      <c r="G1" s="126"/>
      <c r="H1" s="126"/>
      <c r="I1" s="126"/>
      <c r="J1" s="126" t="s">
        <v>10082</v>
      </c>
      <c r="K1" s="126"/>
      <c r="L1" s="126"/>
      <c r="M1" s="126"/>
      <c r="N1" s="126"/>
      <c r="O1" s="150" t="s">
        <v>10083</v>
      </c>
      <c r="P1" s="150"/>
      <c r="Q1" s="150"/>
      <c r="R1" s="150"/>
      <c r="S1" s="126" t="s">
        <v>10084</v>
      </c>
      <c r="T1" s="126"/>
      <c r="U1" s="126"/>
      <c r="V1" s="126"/>
      <c r="W1" s="126"/>
      <c r="X1" s="125" t="s">
        <v>9743</v>
      </c>
      <c r="Y1" s="126" t="s">
        <v>35</v>
      </c>
      <c r="Z1" s="124" t="s">
        <v>9742</v>
      </c>
      <c r="AA1" s="124"/>
      <c r="AB1" s="124"/>
      <c r="AC1" s="124"/>
      <c r="AD1" s="124"/>
      <c r="AE1" s="124"/>
      <c r="AF1" s="168" t="s">
        <v>10085</v>
      </c>
      <c r="AG1" s="168"/>
      <c r="AH1" s="168"/>
      <c r="AI1" s="168"/>
      <c r="AJ1" s="168"/>
      <c r="AK1" s="168"/>
      <c r="AL1" s="182" t="s">
        <v>9743</v>
      </c>
      <c r="AM1" s="150" t="s">
        <v>36</v>
      </c>
      <c r="AN1" s="150" t="s">
        <v>37</v>
      </c>
      <c r="AO1" s="184" t="s">
        <v>38</v>
      </c>
      <c r="AP1" s="147" t="s">
        <v>9755</v>
      </c>
      <c r="AQ1" s="147" t="s">
        <v>9756</v>
      </c>
      <c r="AR1" s="147" t="s">
        <v>9757</v>
      </c>
      <c r="AS1" s="96" t="s">
        <v>39</v>
      </c>
      <c r="AT1" s="96" t="s">
        <v>10086</v>
      </c>
      <c r="AU1" s="96" t="s">
        <v>41</v>
      </c>
    </row>
    <row r="2" s="147" customFormat="1" customHeight="1" spans="1:47">
      <c r="A2" s="150"/>
      <c r="B2" s="150"/>
      <c r="C2" s="150"/>
      <c r="D2" s="150" t="s">
        <v>9872</v>
      </c>
      <c r="E2" s="150" t="s">
        <v>10087</v>
      </c>
      <c r="F2" s="150" t="s">
        <v>10088</v>
      </c>
      <c r="G2" s="126" t="s">
        <v>10089</v>
      </c>
      <c r="H2" s="126"/>
      <c r="I2" s="126" t="s">
        <v>10090</v>
      </c>
      <c r="J2" s="126" t="s">
        <v>10091</v>
      </c>
      <c r="K2" s="126" t="s">
        <v>9746</v>
      </c>
      <c r="L2" s="126" t="s">
        <v>10092</v>
      </c>
      <c r="M2" s="47" t="s">
        <v>10093</v>
      </c>
      <c r="N2" s="126" t="s">
        <v>9748</v>
      </c>
      <c r="O2" s="150" t="s">
        <v>10094</v>
      </c>
      <c r="P2" s="50" t="s">
        <v>10095</v>
      </c>
      <c r="Q2" s="50" t="s">
        <v>10096</v>
      </c>
      <c r="R2" s="150" t="s">
        <v>10097</v>
      </c>
      <c r="S2" s="126" t="s">
        <v>10091</v>
      </c>
      <c r="T2" s="126" t="s">
        <v>9746</v>
      </c>
      <c r="U2" s="126" t="s">
        <v>10092</v>
      </c>
      <c r="V2" s="47" t="s">
        <v>10093</v>
      </c>
      <c r="W2" s="126" t="s">
        <v>10098</v>
      </c>
      <c r="X2" s="127"/>
      <c r="Y2" s="126"/>
      <c r="Z2" s="89" t="s">
        <v>9751</v>
      </c>
      <c r="AA2" s="89" t="s">
        <v>9752</v>
      </c>
      <c r="AB2" s="89" t="s">
        <v>9753</v>
      </c>
      <c r="AC2" s="89" t="s">
        <v>10099</v>
      </c>
      <c r="AD2" s="89" t="s">
        <v>28</v>
      </c>
      <c r="AE2" s="89" t="s">
        <v>9754</v>
      </c>
      <c r="AF2" s="89" t="s">
        <v>9751</v>
      </c>
      <c r="AG2" s="89" t="s">
        <v>9752</v>
      </c>
      <c r="AH2" s="89" t="s">
        <v>9753</v>
      </c>
      <c r="AI2" s="89" t="s">
        <v>10099</v>
      </c>
      <c r="AJ2" s="89" t="s">
        <v>28</v>
      </c>
      <c r="AK2" s="89" t="s">
        <v>9754</v>
      </c>
      <c r="AL2" s="183"/>
      <c r="AM2" s="150"/>
      <c r="AN2" s="150"/>
      <c r="AO2" s="184"/>
      <c r="AS2" s="147">
        <f>SUM(N:N)</f>
        <v>97011543.16</v>
      </c>
      <c r="AT2" s="147">
        <f>SUM(W:W)</f>
        <v>50324243.79</v>
      </c>
      <c r="AU2" s="147">
        <f>COUNTA(A:A)-1</f>
        <v>17</v>
      </c>
    </row>
    <row r="3" s="96" customFormat="1" customHeight="1" spans="1:44">
      <c r="A3" s="115" t="s">
        <v>10022</v>
      </c>
      <c r="B3" s="181" t="s">
        <v>10024</v>
      </c>
      <c r="C3" s="181">
        <v>18237122918</v>
      </c>
      <c r="D3" s="181" t="s">
        <v>10023</v>
      </c>
      <c r="E3" s="181" t="s">
        <v>10100</v>
      </c>
      <c r="F3" s="181" t="s">
        <v>10101</v>
      </c>
      <c r="G3" s="134">
        <v>350000</v>
      </c>
      <c r="H3" s="134"/>
      <c r="I3" s="134">
        <v>150000</v>
      </c>
      <c r="J3" s="134">
        <f>G3-I3</f>
        <v>200000</v>
      </c>
      <c r="K3" s="134"/>
      <c r="L3" s="134"/>
      <c r="M3" s="134"/>
      <c r="N3" s="134">
        <f t="shared" ref="N3:N7" si="0">SUM(J3:M3)</f>
        <v>200000</v>
      </c>
      <c r="O3" s="115" t="s">
        <v>10102</v>
      </c>
      <c r="P3" s="181"/>
      <c r="Q3" s="181"/>
      <c r="R3" s="181" t="s">
        <v>10103</v>
      </c>
      <c r="S3" s="134">
        <f>N3</f>
        <v>200000</v>
      </c>
      <c r="T3" s="134"/>
      <c r="U3" s="134"/>
      <c r="V3" s="134"/>
      <c r="W3" s="134">
        <f t="shared" ref="W3:W19" si="1">SUM(S3:V3)</f>
        <v>200000</v>
      </c>
      <c r="X3" s="133" t="s">
        <v>10104</v>
      </c>
      <c r="Y3" s="134">
        <f t="shared" ref="Y3:Y14" si="2">N3-W3</f>
        <v>0</v>
      </c>
      <c r="Z3" s="134">
        <v>200000</v>
      </c>
      <c r="AA3" s="134"/>
      <c r="AB3" s="134"/>
      <c r="AC3" s="134"/>
      <c r="AD3" s="134"/>
      <c r="AE3" s="134">
        <v>200000</v>
      </c>
      <c r="AF3" s="134"/>
      <c r="AG3" s="134"/>
      <c r="AH3" s="134"/>
      <c r="AI3" s="134"/>
      <c r="AJ3" s="134"/>
      <c r="AK3" s="134"/>
      <c r="AL3" s="134" t="s">
        <v>9759</v>
      </c>
      <c r="AM3" s="176" t="s">
        <v>10105</v>
      </c>
      <c r="AN3" s="176"/>
      <c r="AO3" s="185">
        <v>44841</v>
      </c>
      <c r="AP3" s="171"/>
      <c r="AQ3" s="171"/>
      <c r="AR3" s="171"/>
    </row>
    <row r="4" s="96" customFormat="1" customHeight="1" spans="1:44">
      <c r="A4" s="115" t="s">
        <v>10026</v>
      </c>
      <c r="B4" s="181" t="s">
        <v>10028</v>
      </c>
      <c r="C4" s="181">
        <v>15736755763</v>
      </c>
      <c r="D4" s="181" t="s">
        <v>10027</v>
      </c>
      <c r="E4" s="181" t="s">
        <v>10106</v>
      </c>
      <c r="F4" s="181" t="s">
        <v>10107</v>
      </c>
      <c r="G4" s="134"/>
      <c r="H4" s="134"/>
      <c r="I4" s="134"/>
      <c r="J4" s="134">
        <v>1420000</v>
      </c>
      <c r="K4" s="134"/>
      <c r="L4" s="134">
        <v>157631.83</v>
      </c>
      <c r="M4" s="134">
        <v>8790</v>
      </c>
      <c r="N4" s="134">
        <f t="shared" si="0"/>
        <v>1586421.83</v>
      </c>
      <c r="O4" s="115"/>
      <c r="P4" s="181"/>
      <c r="Q4" s="181" t="s">
        <v>10102</v>
      </c>
      <c r="R4" s="181"/>
      <c r="S4" s="134">
        <f t="shared" ref="S4:S8" si="3">J4</f>
        <v>1420000</v>
      </c>
      <c r="T4" s="134"/>
      <c r="U4" s="134"/>
      <c r="V4" s="134">
        <f t="shared" ref="V4:V7" si="4">M4</f>
        <v>8790</v>
      </c>
      <c r="W4" s="134">
        <f t="shared" si="1"/>
        <v>1428790</v>
      </c>
      <c r="X4" s="133" t="s">
        <v>10108</v>
      </c>
      <c r="Y4" s="134">
        <f t="shared" si="2"/>
        <v>157631.83</v>
      </c>
      <c r="Z4" s="134">
        <v>1420000</v>
      </c>
      <c r="AA4" s="134"/>
      <c r="AB4" s="134">
        <v>157328.11</v>
      </c>
      <c r="AC4" s="134"/>
      <c r="AD4" s="134">
        <v>8790</v>
      </c>
      <c r="AE4" s="134">
        <v>1586118.11</v>
      </c>
      <c r="AF4" s="134"/>
      <c r="AG4" s="134"/>
      <c r="AH4" s="134"/>
      <c r="AI4" s="134"/>
      <c r="AJ4" s="134"/>
      <c r="AK4" s="134"/>
      <c r="AL4" s="134" t="s">
        <v>9759</v>
      </c>
      <c r="AM4" s="176"/>
      <c r="AN4" s="176" t="s">
        <v>900</v>
      </c>
      <c r="AO4" s="185">
        <v>44887</v>
      </c>
      <c r="AP4" s="171"/>
      <c r="AQ4" s="171"/>
      <c r="AR4" s="171"/>
    </row>
    <row r="5" s="96" customFormat="1" customHeight="1" spans="1:44">
      <c r="A5" s="115" t="s">
        <v>10030</v>
      </c>
      <c r="B5" s="181" t="s">
        <v>10032</v>
      </c>
      <c r="C5" s="181">
        <v>15333116088</v>
      </c>
      <c r="D5" s="181" t="s">
        <v>10031</v>
      </c>
      <c r="E5" s="181" t="s">
        <v>10109</v>
      </c>
      <c r="F5" s="181" t="s">
        <v>10110</v>
      </c>
      <c r="G5" s="134"/>
      <c r="H5" s="134"/>
      <c r="I5" s="134"/>
      <c r="J5" s="134">
        <v>29533861</v>
      </c>
      <c r="K5" s="134"/>
      <c r="L5" s="134">
        <f>2191986.75+1705580.47</f>
        <v>3897567.22</v>
      </c>
      <c r="M5" s="134">
        <f>188014+5000</f>
        <v>193014</v>
      </c>
      <c r="N5" s="134">
        <f t="shared" si="0"/>
        <v>33624442.22</v>
      </c>
      <c r="O5" s="115" t="s">
        <v>10102</v>
      </c>
      <c r="P5" s="181"/>
      <c r="Q5" s="181" t="s">
        <v>10102</v>
      </c>
      <c r="R5" s="181" t="s">
        <v>10111</v>
      </c>
      <c r="S5" s="134">
        <f t="shared" si="3"/>
        <v>29533861</v>
      </c>
      <c r="T5" s="134"/>
      <c r="U5" s="134"/>
      <c r="V5" s="134">
        <f t="shared" si="4"/>
        <v>193014</v>
      </c>
      <c r="W5" s="134">
        <f t="shared" si="1"/>
        <v>29726875</v>
      </c>
      <c r="X5" s="133" t="s">
        <v>10108</v>
      </c>
      <c r="Y5" s="134">
        <f t="shared" si="2"/>
        <v>3897567.22</v>
      </c>
      <c r="Z5" s="134">
        <v>29533861</v>
      </c>
      <c r="AA5" s="134">
        <v>2191986.75</v>
      </c>
      <c r="AB5" s="134">
        <v>1705580.47</v>
      </c>
      <c r="AC5" s="134"/>
      <c r="AD5" s="134">
        <v>193014</v>
      </c>
      <c r="AE5" s="134">
        <v>33624442.22</v>
      </c>
      <c r="AF5" s="134"/>
      <c r="AG5" s="134"/>
      <c r="AH5" s="134"/>
      <c r="AI5" s="134"/>
      <c r="AJ5" s="134"/>
      <c r="AK5" s="134"/>
      <c r="AL5" s="134" t="s">
        <v>9759</v>
      </c>
      <c r="AM5" s="176"/>
      <c r="AN5" s="176" t="s">
        <v>900</v>
      </c>
      <c r="AO5" s="185">
        <v>44887</v>
      </c>
      <c r="AP5" s="171" t="s">
        <v>10112</v>
      </c>
      <c r="AQ5" s="171"/>
      <c r="AR5" s="171"/>
    </row>
    <row r="6" s="96" customFormat="1" customHeight="1" spans="1:44">
      <c r="A6" s="115" t="s">
        <v>10034</v>
      </c>
      <c r="B6" s="181" t="s">
        <v>10036</v>
      </c>
      <c r="C6" s="181">
        <v>13273026843</v>
      </c>
      <c r="D6" s="181" t="s">
        <v>10035</v>
      </c>
      <c r="E6" s="181"/>
      <c r="F6" s="181" t="s">
        <v>10113</v>
      </c>
      <c r="G6" s="134"/>
      <c r="H6" s="134"/>
      <c r="I6" s="134"/>
      <c r="J6" s="134">
        <v>4921413</v>
      </c>
      <c r="K6" s="134">
        <v>295407.8</v>
      </c>
      <c r="L6" s="134">
        <v>429475.31</v>
      </c>
      <c r="M6" s="134">
        <v>23086</v>
      </c>
      <c r="N6" s="134">
        <f>J6+K6+L6+M6</f>
        <v>5669382.11</v>
      </c>
      <c r="O6" s="115"/>
      <c r="P6" s="181"/>
      <c r="Q6" s="181" t="s">
        <v>10102</v>
      </c>
      <c r="R6" s="181" t="s">
        <v>10114</v>
      </c>
      <c r="S6" s="134">
        <f t="shared" si="3"/>
        <v>4921413</v>
      </c>
      <c r="T6" s="134"/>
      <c r="U6" s="134"/>
      <c r="V6" s="134">
        <f t="shared" si="4"/>
        <v>23086</v>
      </c>
      <c r="W6" s="134">
        <f t="shared" si="1"/>
        <v>4944499</v>
      </c>
      <c r="X6" s="133" t="s">
        <v>10108</v>
      </c>
      <c r="Y6" s="134"/>
      <c r="Z6" s="134">
        <v>4921413</v>
      </c>
      <c r="AA6" s="134">
        <v>429475.31</v>
      </c>
      <c r="AB6" s="134">
        <v>289379</v>
      </c>
      <c r="AC6" s="134"/>
      <c r="AD6" s="134">
        <v>23086</v>
      </c>
      <c r="AE6" s="134">
        <v>5663353.31</v>
      </c>
      <c r="AF6" s="134"/>
      <c r="AG6" s="134"/>
      <c r="AH6" s="134"/>
      <c r="AI6" s="134"/>
      <c r="AJ6" s="134"/>
      <c r="AK6" s="134"/>
      <c r="AL6" s="134" t="s">
        <v>9759</v>
      </c>
      <c r="AM6" s="176" t="s">
        <v>10115</v>
      </c>
      <c r="AN6" s="176" t="s">
        <v>854</v>
      </c>
      <c r="AO6" s="185">
        <v>44874</v>
      </c>
      <c r="AP6" s="171" t="s">
        <v>10116</v>
      </c>
      <c r="AQ6" s="171" t="s">
        <v>10117</v>
      </c>
      <c r="AR6" s="186">
        <v>700000</v>
      </c>
    </row>
    <row r="7" s="96" customFormat="1" customHeight="1" spans="1:44">
      <c r="A7" s="115" t="s">
        <v>10038</v>
      </c>
      <c r="B7" s="181" t="s">
        <v>10040</v>
      </c>
      <c r="C7" s="181">
        <v>15981973672</v>
      </c>
      <c r="D7" s="181" t="s">
        <v>10039</v>
      </c>
      <c r="E7" s="181" t="s">
        <v>10118</v>
      </c>
      <c r="F7" s="181" t="s">
        <v>10107</v>
      </c>
      <c r="G7" s="134"/>
      <c r="H7" s="134"/>
      <c r="I7" s="134"/>
      <c r="J7" s="134">
        <v>858600</v>
      </c>
      <c r="K7" s="134"/>
      <c r="L7" s="134">
        <v>50540.54</v>
      </c>
      <c r="M7" s="134">
        <f>16172+6952</f>
        <v>23124</v>
      </c>
      <c r="N7" s="134">
        <f t="shared" si="0"/>
        <v>932264.54</v>
      </c>
      <c r="O7" s="115"/>
      <c r="P7" s="181"/>
      <c r="Q7" s="181" t="s">
        <v>10102</v>
      </c>
      <c r="R7" s="181"/>
      <c r="S7" s="134">
        <f t="shared" si="3"/>
        <v>858600</v>
      </c>
      <c r="T7" s="134"/>
      <c r="U7" s="134"/>
      <c r="V7" s="134">
        <f t="shared" si="4"/>
        <v>23124</v>
      </c>
      <c r="W7" s="134">
        <f t="shared" si="1"/>
        <v>881724</v>
      </c>
      <c r="X7" s="133" t="s">
        <v>10108</v>
      </c>
      <c r="Y7" s="134">
        <f t="shared" si="2"/>
        <v>50540.54</v>
      </c>
      <c r="Z7" s="134">
        <v>858600</v>
      </c>
      <c r="AA7" s="134">
        <v>50540.54</v>
      </c>
      <c r="AB7" s="134"/>
      <c r="AC7" s="134"/>
      <c r="AD7" s="134">
        <v>23124</v>
      </c>
      <c r="AE7" s="134">
        <v>932264.54</v>
      </c>
      <c r="AF7" s="134"/>
      <c r="AG7" s="134"/>
      <c r="AH7" s="134"/>
      <c r="AI7" s="134"/>
      <c r="AJ7" s="134"/>
      <c r="AK7" s="134"/>
      <c r="AL7" s="134" t="s">
        <v>9759</v>
      </c>
      <c r="AM7" s="176" t="s">
        <v>10119</v>
      </c>
      <c r="AN7" s="176" t="s">
        <v>900</v>
      </c>
      <c r="AO7" s="185">
        <v>44875</v>
      </c>
      <c r="AP7" s="171"/>
      <c r="AQ7" s="171"/>
      <c r="AR7" s="171"/>
    </row>
    <row r="8" s="96" customFormat="1" customHeight="1" spans="1:44">
      <c r="A8" s="115" t="s">
        <v>10042</v>
      </c>
      <c r="B8" s="181" t="s">
        <v>10044</v>
      </c>
      <c r="C8" s="181" t="s">
        <v>10120</v>
      </c>
      <c r="D8" s="181" t="s">
        <v>10043</v>
      </c>
      <c r="E8" s="181" t="s">
        <v>10121</v>
      </c>
      <c r="F8" s="181" t="s">
        <v>10113</v>
      </c>
      <c r="G8" s="134"/>
      <c r="H8" s="134"/>
      <c r="I8" s="134"/>
      <c r="J8" s="134">
        <v>550000</v>
      </c>
      <c r="K8" s="134"/>
      <c r="L8" s="134"/>
      <c r="M8" s="134"/>
      <c r="N8" s="134">
        <f>J8+K8+L8+M8</f>
        <v>550000</v>
      </c>
      <c r="O8" s="115"/>
      <c r="P8" s="181"/>
      <c r="Q8" s="181"/>
      <c r="R8" s="181" t="s">
        <v>10122</v>
      </c>
      <c r="S8" s="134">
        <f t="shared" si="3"/>
        <v>550000</v>
      </c>
      <c r="T8" s="134"/>
      <c r="U8" s="134"/>
      <c r="V8" s="134"/>
      <c r="W8" s="134">
        <f t="shared" si="1"/>
        <v>550000</v>
      </c>
      <c r="X8" s="133" t="s">
        <v>10104</v>
      </c>
      <c r="Y8" s="134">
        <f t="shared" si="2"/>
        <v>0</v>
      </c>
      <c r="Z8" s="134">
        <v>550000</v>
      </c>
      <c r="AA8" s="134"/>
      <c r="AB8" s="134"/>
      <c r="AC8" s="134"/>
      <c r="AD8" s="134"/>
      <c r="AE8" s="134">
        <v>550000</v>
      </c>
      <c r="AF8" s="134"/>
      <c r="AG8" s="134"/>
      <c r="AH8" s="134"/>
      <c r="AI8" s="134"/>
      <c r="AJ8" s="134"/>
      <c r="AK8" s="134"/>
      <c r="AL8" s="134" t="s">
        <v>9759</v>
      </c>
      <c r="AM8" s="176" t="s">
        <v>10123</v>
      </c>
      <c r="AN8" s="176"/>
      <c r="AO8" s="185">
        <v>44887</v>
      </c>
      <c r="AP8" s="171"/>
      <c r="AQ8" s="171"/>
      <c r="AR8" s="171"/>
    </row>
    <row r="9" s="96" customFormat="1" customHeight="1" spans="1:44">
      <c r="A9" s="115" t="s">
        <v>10046</v>
      </c>
      <c r="B9" s="181" t="s">
        <v>10047</v>
      </c>
      <c r="C9" s="181">
        <v>15518892819</v>
      </c>
      <c r="D9" s="181" t="s">
        <v>10047</v>
      </c>
      <c r="E9" s="181" t="s">
        <v>10124</v>
      </c>
      <c r="F9" s="181" t="s">
        <v>10125</v>
      </c>
      <c r="G9" s="134"/>
      <c r="H9" s="134"/>
      <c r="I9" s="134"/>
      <c r="J9" s="134">
        <v>40000</v>
      </c>
      <c r="K9" s="134"/>
      <c r="L9" s="134"/>
      <c r="M9" s="134"/>
      <c r="N9" s="134">
        <f t="shared" ref="N9:N12" si="5">SUM(J9:M9)</f>
        <v>40000</v>
      </c>
      <c r="O9" s="115"/>
      <c r="P9" s="181"/>
      <c r="Q9" s="181"/>
      <c r="R9" s="181" t="s">
        <v>10126</v>
      </c>
      <c r="S9" s="134">
        <v>40000</v>
      </c>
      <c r="T9" s="134"/>
      <c r="U9" s="134"/>
      <c r="V9" s="134"/>
      <c r="W9" s="134">
        <f t="shared" si="1"/>
        <v>40000</v>
      </c>
      <c r="X9" s="133" t="s">
        <v>9759</v>
      </c>
      <c r="Y9" s="134">
        <f t="shared" si="2"/>
        <v>0</v>
      </c>
      <c r="Z9" s="134">
        <v>40000</v>
      </c>
      <c r="AA9" s="134"/>
      <c r="AB9" s="134"/>
      <c r="AC9" s="134"/>
      <c r="AD9" s="134"/>
      <c r="AE9" s="134">
        <v>40000</v>
      </c>
      <c r="AF9" s="134"/>
      <c r="AG9" s="134"/>
      <c r="AH9" s="134"/>
      <c r="AI9" s="134"/>
      <c r="AJ9" s="134"/>
      <c r="AK9" s="134"/>
      <c r="AL9" s="134" t="s">
        <v>9759</v>
      </c>
      <c r="AM9" s="176" t="s">
        <v>10127</v>
      </c>
      <c r="AN9" s="176" t="s">
        <v>900</v>
      </c>
      <c r="AO9" s="185">
        <v>44880</v>
      </c>
      <c r="AP9" s="171"/>
      <c r="AQ9" s="171"/>
      <c r="AR9" s="171"/>
    </row>
    <row r="10" s="96" customFormat="1" customHeight="1" spans="1:44">
      <c r="A10" s="115" t="s">
        <v>10049</v>
      </c>
      <c r="B10" s="181" t="s">
        <v>10051</v>
      </c>
      <c r="C10" s="181">
        <v>18638202555</v>
      </c>
      <c r="D10" s="181" t="s">
        <v>10050</v>
      </c>
      <c r="E10" s="181" t="s">
        <v>10109</v>
      </c>
      <c r="F10" s="181" t="s">
        <v>10110</v>
      </c>
      <c r="G10" s="134"/>
      <c r="H10" s="134"/>
      <c r="I10" s="134"/>
      <c r="J10" s="134">
        <v>132289</v>
      </c>
      <c r="K10" s="134"/>
      <c r="L10" s="134">
        <v>27855</v>
      </c>
      <c r="M10" s="134"/>
      <c r="N10" s="134">
        <f t="shared" si="5"/>
        <v>160144</v>
      </c>
      <c r="O10" s="115"/>
      <c r="P10" s="181"/>
      <c r="Q10" s="181"/>
      <c r="R10" s="181"/>
      <c r="S10" s="134"/>
      <c r="T10" s="134"/>
      <c r="U10" s="134"/>
      <c r="V10" s="134"/>
      <c r="W10" s="134">
        <f t="shared" si="1"/>
        <v>0</v>
      </c>
      <c r="X10" s="133" t="s">
        <v>10128</v>
      </c>
      <c r="Y10" s="134">
        <f t="shared" si="2"/>
        <v>160144</v>
      </c>
      <c r="Z10" s="134"/>
      <c r="AA10" s="134"/>
      <c r="AB10" s="134"/>
      <c r="AC10" s="134"/>
      <c r="AD10" s="134"/>
      <c r="AE10" s="134">
        <v>0</v>
      </c>
      <c r="AF10" s="134"/>
      <c r="AG10" s="134"/>
      <c r="AH10" s="134"/>
      <c r="AI10" s="134"/>
      <c r="AJ10" s="134"/>
      <c r="AK10" s="134"/>
      <c r="AL10" s="134" t="s">
        <v>9808</v>
      </c>
      <c r="AM10" s="176" t="s">
        <v>10129</v>
      </c>
      <c r="AN10" s="176" t="s">
        <v>900</v>
      </c>
      <c r="AO10" s="185">
        <v>44880</v>
      </c>
      <c r="AP10" s="171"/>
      <c r="AQ10" s="171"/>
      <c r="AR10" s="171"/>
    </row>
    <row r="11" s="96" customFormat="1" customHeight="1" spans="1:44">
      <c r="A11" s="115" t="s">
        <v>10053</v>
      </c>
      <c r="B11" s="181" t="s">
        <v>10055</v>
      </c>
      <c r="C11" s="181">
        <v>18639558769</v>
      </c>
      <c r="D11" s="181" t="s">
        <v>10054</v>
      </c>
      <c r="E11" s="181" t="s">
        <v>10130</v>
      </c>
      <c r="F11" s="181" t="s">
        <v>10113</v>
      </c>
      <c r="G11" s="134">
        <f>6798061.6+8679241.62+858056.85</f>
        <v>16335360.07</v>
      </c>
      <c r="H11" s="134"/>
      <c r="I11" s="134">
        <f>6798061.6-498061.6</f>
        <v>6300000</v>
      </c>
      <c r="J11" s="134">
        <f>G11-I11</f>
        <v>10035360.07</v>
      </c>
      <c r="K11" s="134">
        <v>83618</v>
      </c>
      <c r="L11" s="134"/>
      <c r="M11" s="134">
        <v>4241</v>
      </c>
      <c r="N11" s="134">
        <f t="shared" si="5"/>
        <v>10123219.07</v>
      </c>
      <c r="O11" s="115"/>
      <c r="P11" s="181"/>
      <c r="Q11" s="181" t="s">
        <v>10102</v>
      </c>
      <c r="R11" s="181"/>
      <c r="S11" s="134">
        <v>755275.39</v>
      </c>
      <c r="T11" s="134"/>
      <c r="U11" s="134"/>
      <c r="V11" s="134"/>
      <c r="W11" s="134">
        <f t="shared" si="1"/>
        <v>755275.39</v>
      </c>
      <c r="X11" s="133" t="s">
        <v>10104</v>
      </c>
      <c r="Y11" s="134">
        <f t="shared" si="2"/>
        <v>9367943.68</v>
      </c>
      <c r="Z11" s="134">
        <v>755275.39</v>
      </c>
      <c r="AA11" s="134">
        <v>83618</v>
      </c>
      <c r="AB11" s="134"/>
      <c r="AC11" s="134"/>
      <c r="AD11" s="134">
        <v>4241</v>
      </c>
      <c r="AE11" s="134">
        <v>843134.39</v>
      </c>
      <c r="AF11" s="134"/>
      <c r="AG11" s="134"/>
      <c r="AH11" s="134"/>
      <c r="AI11" s="134"/>
      <c r="AJ11" s="134"/>
      <c r="AK11" s="134"/>
      <c r="AL11" s="134" t="s">
        <v>9759</v>
      </c>
      <c r="AM11" s="176" t="s">
        <v>10131</v>
      </c>
      <c r="AN11" s="176" t="s">
        <v>886</v>
      </c>
      <c r="AO11" s="185">
        <v>44879</v>
      </c>
      <c r="AP11" s="171" t="s">
        <v>10112</v>
      </c>
      <c r="AQ11" s="171"/>
      <c r="AR11" s="171"/>
    </row>
    <row r="12" s="96" customFormat="1" customHeight="1" spans="1:44">
      <c r="A12" s="115" t="s">
        <v>10057</v>
      </c>
      <c r="B12" s="181" t="s">
        <v>10028</v>
      </c>
      <c r="C12" s="181">
        <v>15736755763</v>
      </c>
      <c r="D12" s="181" t="s">
        <v>10058</v>
      </c>
      <c r="E12" s="181" t="s">
        <v>10132</v>
      </c>
      <c r="F12" s="181" t="s">
        <v>10107</v>
      </c>
      <c r="G12" s="134">
        <v>1500000</v>
      </c>
      <c r="H12" s="134"/>
      <c r="I12" s="134">
        <v>200000</v>
      </c>
      <c r="J12" s="134">
        <v>1300000</v>
      </c>
      <c r="K12" s="134"/>
      <c r="L12" s="134">
        <v>67340</v>
      </c>
      <c r="M12" s="134"/>
      <c r="N12" s="134">
        <f t="shared" si="5"/>
        <v>1367340</v>
      </c>
      <c r="O12" s="115" t="s">
        <v>10102</v>
      </c>
      <c r="P12" s="181"/>
      <c r="Q12" s="181"/>
      <c r="R12" s="181" t="s">
        <v>10133</v>
      </c>
      <c r="S12" s="134"/>
      <c r="T12" s="134"/>
      <c r="U12" s="134"/>
      <c r="V12" s="134"/>
      <c r="W12" s="134">
        <f t="shared" si="1"/>
        <v>0</v>
      </c>
      <c r="X12" s="133" t="s">
        <v>10128</v>
      </c>
      <c r="Y12" s="134">
        <f t="shared" si="2"/>
        <v>1367340</v>
      </c>
      <c r="Z12" s="134">
        <v>1250000</v>
      </c>
      <c r="AA12" s="134">
        <v>16187.5</v>
      </c>
      <c r="AB12" s="134"/>
      <c r="AC12" s="134"/>
      <c r="AD12" s="134"/>
      <c r="AE12" s="134">
        <v>1266187.5</v>
      </c>
      <c r="AF12" s="134"/>
      <c r="AG12" s="134"/>
      <c r="AH12" s="134"/>
      <c r="AI12" s="134"/>
      <c r="AJ12" s="134"/>
      <c r="AK12" s="134"/>
      <c r="AL12" s="134" t="s">
        <v>9759</v>
      </c>
      <c r="AM12" s="176" t="s">
        <v>10134</v>
      </c>
      <c r="AN12" s="176" t="s">
        <v>900</v>
      </c>
      <c r="AO12" s="185">
        <v>44887</v>
      </c>
      <c r="AP12" s="171"/>
      <c r="AQ12" s="171"/>
      <c r="AR12" s="171"/>
    </row>
    <row r="13" s="96" customFormat="1" customHeight="1" spans="1:44">
      <c r="A13" s="115" t="s">
        <v>10059</v>
      </c>
      <c r="B13" s="181" t="s">
        <v>126</v>
      </c>
      <c r="C13" s="181">
        <v>13849091662</v>
      </c>
      <c r="D13" s="181" t="s">
        <v>126</v>
      </c>
      <c r="E13" s="181" t="s">
        <v>10135</v>
      </c>
      <c r="F13" s="181" t="s">
        <v>10136</v>
      </c>
      <c r="G13" s="134"/>
      <c r="H13" s="134"/>
      <c r="I13" s="134"/>
      <c r="J13" s="134">
        <f>4770+10000+108456.17</f>
        <v>123226.17</v>
      </c>
      <c r="K13" s="134"/>
      <c r="L13" s="134"/>
      <c r="M13" s="134"/>
      <c r="N13" s="134">
        <f>J13</f>
        <v>123226.17</v>
      </c>
      <c r="O13" s="115"/>
      <c r="P13" s="181"/>
      <c r="Q13" s="181"/>
      <c r="R13" s="181" t="s">
        <v>10137</v>
      </c>
      <c r="S13" s="134"/>
      <c r="T13" s="134"/>
      <c r="U13" s="134"/>
      <c r="V13" s="134"/>
      <c r="W13" s="134">
        <f t="shared" si="1"/>
        <v>0</v>
      </c>
      <c r="X13" s="133" t="s">
        <v>10104</v>
      </c>
      <c r="Y13" s="134">
        <f t="shared" si="2"/>
        <v>123226.17</v>
      </c>
      <c r="Z13" s="134"/>
      <c r="AA13" s="134"/>
      <c r="AB13" s="134"/>
      <c r="AC13" s="134"/>
      <c r="AD13" s="134"/>
      <c r="AE13" s="134">
        <v>0</v>
      </c>
      <c r="AF13" s="134"/>
      <c r="AG13" s="134"/>
      <c r="AH13" s="134"/>
      <c r="AI13" s="134"/>
      <c r="AJ13" s="134"/>
      <c r="AK13" s="134"/>
      <c r="AL13" s="134" t="s">
        <v>9808</v>
      </c>
      <c r="AM13" s="176" t="s">
        <v>10138</v>
      </c>
      <c r="AN13" s="176" t="s">
        <v>974</v>
      </c>
      <c r="AO13" s="185">
        <v>44889</v>
      </c>
      <c r="AP13" s="171"/>
      <c r="AQ13" s="171"/>
      <c r="AR13" s="171"/>
    </row>
    <row r="14" s="96" customFormat="1" customHeight="1" spans="1:44">
      <c r="A14" s="115" t="s">
        <v>10061</v>
      </c>
      <c r="B14" s="181" t="s">
        <v>10062</v>
      </c>
      <c r="C14" s="181">
        <v>18839769810</v>
      </c>
      <c r="D14" s="181" t="s">
        <v>10062</v>
      </c>
      <c r="E14" s="181" t="s">
        <v>10139</v>
      </c>
      <c r="F14" s="181" t="s">
        <v>10140</v>
      </c>
      <c r="G14" s="134"/>
      <c r="H14" s="134"/>
      <c r="I14" s="134"/>
      <c r="J14" s="134">
        <v>147828.43</v>
      </c>
      <c r="K14" s="134"/>
      <c r="L14" s="134"/>
      <c r="M14" s="134"/>
      <c r="N14" s="134">
        <f>J14</f>
        <v>147828.43</v>
      </c>
      <c r="O14" s="115"/>
      <c r="P14" s="181"/>
      <c r="Q14" s="181"/>
      <c r="R14" s="181" t="s">
        <v>10141</v>
      </c>
      <c r="S14" s="134"/>
      <c r="T14" s="134"/>
      <c r="U14" s="134"/>
      <c r="V14" s="134"/>
      <c r="W14" s="134">
        <f t="shared" si="1"/>
        <v>0</v>
      </c>
      <c r="X14" s="133" t="s">
        <v>10104</v>
      </c>
      <c r="Y14" s="134">
        <f t="shared" si="2"/>
        <v>147828.43</v>
      </c>
      <c r="Z14" s="134">
        <v>92832.43</v>
      </c>
      <c r="AA14" s="134"/>
      <c r="AB14" s="134"/>
      <c r="AC14" s="134"/>
      <c r="AD14" s="134"/>
      <c r="AE14" s="134">
        <v>92832.43</v>
      </c>
      <c r="AF14" s="134"/>
      <c r="AG14" s="134"/>
      <c r="AH14" s="134"/>
      <c r="AI14" s="134"/>
      <c r="AJ14" s="134"/>
      <c r="AK14" s="134"/>
      <c r="AL14" s="134" t="s">
        <v>9759</v>
      </c>
      <c r="AM14" s="176" t="s">
        <v>10142</v>
      </c>
      <c r="AN14" s="176" t="s">
        <v>974</v>
      </c>
      <c r="AO14" s="185">
        <v>44889</v>
      </c>
      <c r="AP14" s="171"/>
      <c r="AQ14" s="171"/>
      <c r="AR14" s="171"/>
    </row>
    <row r="15" s="96" customFormat="1" customHeight="1" spans="1:44">
      <c r="A15" s="115" t="s">
        <v>10064</v>
      </c>
      <c r="B15" s="181" t="s">
        <v>10066</v>
      </c>
      <c r="C15" s="181">
        <v>18317858133</v>
      </c>
      <c r="D15" s="181" t="s">
        <v>10065</v>
      </c>
      <c r="E15" s="181" t="s">
        <v>10143</v>
      </c>
      <c r="F15" s="181" t="s">
        <v>10144</v>
      </c>
      <c r="G15" s="134"/>
      <c r="H15" s="134"/>
      <c r="I15" s="134"/>
      <c r="J15" s="134">
        <v>6713607.46</v>
      </c>
      <c r="K15" s="134"/>
      <c r="L15" s="134">
        <v>20268264.37</v>
      </c>
      <c r="M15" s="134"/>
      <c r="N15" s="134">
        <f>SUM(J15:M15)</f>
        <v>26981871.83</v>
      </c>
      <c r="O15" s="115" t="s">
        <v>10102</v>
      </c>
      <c r="P15" s="181"/>
      <c r="Q15" s="181"/>
      <c r="R15" s="181" t="s">
        <v>10145</v>
      </c>
      <c r="S15" s="134"/>
      <c r="T15" s="134"/>
      <c r="U15" s="134"/>
      <c r="V15" s="134"/>
      <c r="W15" s="134">
        <f t="shared" si="1"/>
        <v>0</v>
      </c>
      <c r="X15" s="133" t="s">
        <v>10128</v>
      </c>
      <c r="Y15" s="134"/>
      <c r="Z15" s="134"/>
      <c r="AA15" s="134"/>
      <c r="AB15" s="134"/>
      <c r="AC15" s="134"/>
      <c r="AD15" s="134"/>
      <c r="AE15" s="134">
        <v>0</v>
      </c>
      <c r="AF15" s="134"/>
      <c r="AG15" s="134"/>
      <c r="AH15" s="134"/>
      <c r="AI15" s="134"/>
      <c r="AJ15" s="134"/>
      <c r="AK15" s="134"/>
      <c r="AL15" s="134" t="s">
        <v>9808</v>
      </c>
      <c r="AM15" s="176" t="s">
        <v>10146</v>
      </c>
      <c r="AN15" s="176" t="s">
        <v>974</v>
      </c>
      <c r="AO15" s="185">
        <v>44889</v>
      </c>
      <c r="AP15" s="171" t="s">
        <v>10112</v>
      </c>
      <c r="AQ15" s="171"/>
      <c r="AR15" s="171"/>
    </row>
    <row r="16" s="96" customFormat="1" customHeight="1" spans="1:44">
      <c r="A16" s="115" t="s">
        <v>10068</v>
      </c>
      <c r="B16" s="181" t="s">
        <v>10070</v>
      </c>
      <c r="C16" s="181">
        <v>15936217614</v>
      </c>
      <c r="D16" s="181" t="s">
        <v>10069</v>
      </c>
      <c r="E16" s="181" t="s">
        <v>10139</v>
      </c>
      <c r="F16" s="181" t="s">
        <v>10147</v>
      </c>
      <c r="G16" s="134"/>
      <c r="H16" s="134"/>
      <c r="I16" s="134"/>
      <c r="J16" s="134">
        <v>5116</v>
      </c>
      <c r="K16" s="134"/>
      <c r="L16" s="134"/>
      <c r="M16" s="134"/>
      <c r="N16" s="134">
        <f>SUM(J16:M16)</f>
        <v>5116</v>
      </c>
      <c r="O16" s="115"/>
      <c r="P16" s="181"/>
      <c r="Q16" s="181"/>
      <c r="R16" s="181" t="s">
        <v>10148</v>
      </c>
      <c r="S16" s="134"/>
      <c r="T16" s="134"/>
      <c r="U16" s="134"/>
      <c r="V16" s="134"/>
      <c r="W16" s="134">
        <f t="shared" si="1"/>
        <v>0</v>
      </c>
      <c r="X16" s="133" t="s">
        <v>10104</v>
      </c>
      <c r="Y16" s="134"/>
      <c r="Z16" s="134">
        <v>5116</v>
      </c>
      <c r="AA16" s="134"/>
      <c r="AB16" s="134"/>
      <c r="AC16" s="134"/>
      <c r="AD16" s="134"/>
      <c r="AE16" s="134">
        <v>5116</v>
      </c>
      <c r="AF16" s="134"/>
      <c r="AG16" s="134"/>
      <c r="AH16" s="134"/>
      <c r="AI16" s="134"/>
      <c r="AJ16" s="134"/>
      <c r="AK16" s="134"/>
      <c r="AL16" s="134" t="s">
        <v>9759</v>
      </c>
      <c r="AM16" s="176" t="s">
        <v>10149</v>
      </c>
      <c r="AN16" s="176" t="s">
        <v>974</v>
      </c>
      <c r="AO16" s="185">
        <v>44889</v>
      </c>
      <c r="AP16" s="171"/>
      <c r="AQ16" s="171"/>
      <c r="AR16" s="171"/>
    </row>
    <row r="17" s="96" customFormat="1" customHeight="1" spans="1:44">
      <c r="A17" s="115" t="s">
        <v>10072</v>
      </c>
      <c r="B17" s="181" t="s">
        <v>10150</v>
      </c>
      <c r="C17" s="181">
        <v>15939781199</v>
      </c>
      <c r="D17" s="181" t="s">
        <v>10073</v>
      </c>
      <c r="E17" s="181" t="s">
        <v>10151</v>
      </c>
      <c r="F17" s="181" t="s">
        <v>10152</v>
      </c>
      <c r="G17" s="134"/>
      <c r="H17" s="134"/>
      <c r="I17" s="134"/>
      <c r="J17" s="134">
        <v>500000</v>
      </c>
      <c r="K17" s="134"/>
      <c r="L17" s="134"/>
      <c r="M17" s="134"/>
      <c r="N17" s="134">
        <f>SUM(J17:M17)</f>
        <v>500000</v>
      </c>
      <c r="O17" s="115" t="s">
        <v>10102</v>
      </c>
      <c r="P17" s="181"/>
      <c r="Q17" s="181"/>
      <c r="R17" s="181" t="s">
        <v>10114</v>
      </c>
      <c r="S17" s="134"/>
      <c r="T17" s="134"/>
      <c r="U17" s="134"/>
      <c r="V17" s="134"/>
      <c r="W17" s="134">
        <f t="shared" si="1"/>
        <v>0</v>
      </c>
      <c r="X17" s="133" t="s">
        <v>10104</v>
      </c>
      <c r="Y17" s="134"/>
      <c r="Z17" s="134"/>
      <c r="AA17" s="134"/>
      <c r="AB17" s="134"/>
      <c r="AC17" s="134"/>
      <c r="AD17" s="134"/>
      <c r="AE17" s="134">
        <v>0</v>
      </c>
      <c r="AF17" s="134"/>
      <c r="AG17" s="134"/>
      <c r="AH17" s="134"/>
      <c r="AI17" s="134"/>
      <c r="AJ17" s="134"/>
      <c r="AK17" s="134"/>
      <c r="AL17" s="134" t="s">
        <v>9808</v>
      </c>
      <c r="AM17" s="176" t="s">
        <v>10153</v>
      </c>
      <c r="AN17" s="176" t="s">
        <v>974</v>
      </c>
      <c r="AO17" s="185">
        <v>44889</v>
      </c>
      <c r="AP17" s="171"/>
      <c r="AQ17" s="171"/>
      <c r="AR17" s="171"/>
    </row>
    <row r="18" s="96" customFormat="1" customHeight="1" spans="1:44">
      <c r="A18" s="115" t="s">
        <v>10076</v>
      </c>
      <c r="B18" s="181" t="s">
        <v>10078</v>
      </c>
      <c r="C18" s="181">
        <v>18530881739</v>
      </c>
      <c r="D18" s="181" t="s">
        <v>10077</v>
      </c>
      <c r="E18" s="181" t="s">
        <v>10154</v>
      </c>
      <c r="F18" s="181" t="s">
        <v>10155</v>
      </c>
      <c r="G18" s="134"/>
      <c r="H18" s="134"/>
      <c r="I18" s="134"/>
      <c r="J18" s="134">
        <v>5160800</v>
      </c>
      <c r="K18" s="134">
        <v>2500407.6</v>
      </c>
      <c r="L18" s="134"/>
      <c r="M18" s="134">
        <f>26027+5000</f>
        <v>31027</v>
      </c>
      <c r="N18" s="134">
        <f>SUM(J18:M18)</f>
        <v>7692234.6</v>
      </c>
      <c r="O18" s="115"/>
      <c r="P18" s="181"/>
      <c r="Q18" s="181" t="s">
        <v>10102</v>
      </c>
      <c r="R18" s="181"/>
      <c r="S18" s="134">
        <v>5160800</v>
      </c>
      <c r="T18" s="134"/>
      <c r="U18" s="134"/>
      <c r="V18" s="134">
        <v>31027</v>
      </c>
      <c r="W18" s="134">
        <f t="shared" si="1"/>
        <v>5191827</v>
      </c>
      <c r="X18" s="133" t="s">
        <v>10108</v>
      </c>
      <c r="Y18" s="134">
        <f>N18-W18</f>
        <v>2500407.6</v>
      </c>
      <c r="Z18" s="134">
        <v>5160800</v>
      </c>
      <c r="AA18" s="134">
        <v>2427296.27</v>
      </c>
      <c r="AB18" s="134">
        <v>0</v>
      </c>
      <c r="AC18" s="134">
        <v>31027</v>
      </c>
      <c r="AD18" s="134">
        <v>0</v>
      </c>
      <c r="AE18" s="134">
        <v>7619123.27</v>
      </c>
      <c r="AF18" s="134"/>
      <c r="AG18" s="134"/>
      <c r="AH18" s="134"/>
      <c r="AI18" s="134"/>
      <c r="AJ18" s="134"/>
      <c r="AK18" s="134"/>
      <c r="AL18" s="134" t="s">
        <v>9759</v>
      </c>
      <c r="AM18" s="176" t="s">
        <v>10156</v>
      </c>
      <c r="AN18" s="176" t="s">
        <v>900</v>
      </c>
      <c r="AO18" s="185">
        <v>44875</v>
      </c>
      <c r="AP18" s="171"/>
      <c r="AQ18" s="171"/>
      <c r="AR18" s="171"/>
    </row>
    <row r="19" s="96" customFormat="1" customHeight="1" spans="1:44">
      <c r="A19" s="115" t="s">
        <v>10080</v>
      </c>
      <c r="B19" s="181" t="s">
        <v>10078</v>
      </c>
      <c r="C19" s="181">
        <v>18530881739</v>
      </c>
      <c r="D19" s="181" t="s">
        <v>10081</v>
      </c>
      <c r="E19" s="181" t="s">
        <v>10157</v>
      </c>
      <c r="F19" s="181" t="s">
        <v>10158</v>
      </c>
      <c r="G19" s="134"/>
      <c r="H19" s="134"/>
      <c r="I19" s="134"/>
      <c r="J19" s="134">
        <v>5974990.4</v>
      </c>
      <c r="K19" s="134">
        <v>597500</v>
      </c>
      <c r="L19" s="134">
        <v>702798.96</v>
      </c>
      <c r="M19" s="134">
        <v>32763</v>
      </c>
      <c r="N19" s="134">
        <f>SUM(J19:M19)</f>
        <v>7308052.36</v>
      </c>
      <c r="O19" s="115"/>
      <c r="P19" s="181"/>
      <c r="Q19" s="181" t="s">
        <v>10102</v>
      </c>
      <c r="R19" s="181"/>
      <c r="S19" s="134">
        <v>5974990.4</v>
      </c>
      <c r="T19" s="134">
        <v>597500</v>
      </c>
      <c r="U19" s="134"/>
      <c r="V19" s="134">
        <v>32763</v>
      </c>
      <c r="W19" s="134">
        <f t="shared" si="1"/>
        <v>6605253.4</v>
      </c>
      <c r="X19" s="133" t="s">
        <v>10108</v>
      </c>
      <c r="Y19" s="134">
        <f>N19-W19</f>
        <v>702798.96</v>
      </c>
      <c r="Z19" s="134">
        <v>5974990.4</v>
      </c>
      <c r="AA19" s="134">
        <v>597500</v>
      </c>
      <c r="AB19" s="134">
        <v>635738.98</v>
      </c>
      <c r="AC19" s="134">
        <v>32763</v>
      </c>
      <c r="AD19" s="134">
        <v>0</v>
      </c>
      <c r="AE19" s="134">
        <v>7240992.38</v>
      </c>
      <c r="AF19" s="134"/>
      <c r="AG19" s="134"/>
      <c r="AH19" s="134"/>
      <c r="AI19" s="134"/>
      <c r="AJ19" s="134"/>
      <c r="AK19" s="134"/>
      <c r="AL19" s="134" t="s">
        <v>9759</v>
      </c>
      <c r="AM19" s="176" t="s">
        <v>10159</v>
      </c>
      <c r="AN19" s="176" t="s">
        <v>900</v>
      </c>
      <c r="AO19" s="185">
        <v>44875</v>
      </c>
      <c r="AP19" s="171"/>
      <c r="AQ19" s="171"/>
      <c r="AR19" s="171"/>
    </row>
  </sheetData>
  <autoFilter ref="A2:AT19">
    <sortState ref="A2:AT19">
      <sortCondition ref="A2:A20"/>
    </sortState>
    <extLst/>
  </autoFilter>
  <mergeCells count="18">
    <mergeCell ref="D1:I1"/>
    <mergeCell ref="J1:N1"/>
    <mergeCell ref="O1:R1"/>
    <mergeCell ref="S1:W1"/>
    <mergeCell ref="Z1:AE1"/>
    <mergeCell ref="AF1:AK1"/>
    <mergeCell ref="A1:A2"/>
    <mergeCell ref="B1:B2"/>
    <mergeCell ref="C1:C2"/>
    <mergeCell ref="X1:X2"/>
    <mergeCell ref="Y1:Y2"/>
    <mergeCell ref="AL1:AL2"/>
    <mergeCell ref="AM1:AM2"/>
    <mergeCell ref="AN1:AN2"/>
    <mergeCell ref="AO1:AO2"/>
    <mergeCell ref="AP1:AP2"/>
    <mergeCell ref="AQ1:AQ2"/>
    <mergeCell ref="AR1:AR2"/>
  </mergeCells>
  <conditionalFormatting sqref="A$1:A$1048576">
    <cfRule type="duplicateValues" dxfId="1" priority="1"/>
  </conditionalFormatting>
  <pageMargins left="0.75" right="0.75" top="1" bottom="1" header="0.5" footer="0.5"/>
  <pageSetup paperSize="9" orientation="portrait"/>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12"/>
  <sheetViews>
    <sheetView workbookViewId="0">
      <pane ySplit="5" topLeftCell="A14" activePane="bottomLeft" state="frozen"/>
      <selection/>
      <selection pane="bottomLeft" activeCell="C8" sqref="C8"/>
    </sheetView>
  </sheetViews>
  <sheetFormatPr defaultColWidth="8.72727272727273" defaultRowHeight="18" customHeight="1"/>
  <cols>
    <col min="1" max="1" width="9.09090909090909" style="148" customWidth="1"/>
    <col min="2" max="2" width="24.1818181818182" style="170" customWidth="1"/>
    <col min="3" max="3" width="7.63636363636364" style="98" customWidth="1"/>
    <col min="4" max="4" width="12.9090909090909" style="98" customWidth="1"/>
    <col min="5" max="5" width="20.7272727272727" style="171" customWidth="1"/>
    <col min="6" max="6" width="16" style="101" customWidth="1"/>
    <col min="7" max="7" width="15.1818181818182" style="101" customWidth="1"/>
    <col min="8" max="8" width="14.5545454545455" style="101" customWidth="1"/>
    <col min="9" max="9" width="12.3636363636364" style="101" customWidth="1"/>
    <col min="10" max="10" width="15.1818181818182" style="101" customWidth="1"/>
    <col min="11" max="12" width="16.1818181818182" style="101" customWidth="1"/>
    <col min="13" max="13" width="7.81818181818182" style="101" customWidth="1"/>
    <col min="14" max="14" width="6.36363636363636" style="101" customWidth="1"/>
    <col min="15" max="15" width="12.3636363636364" style="101" customWidth="1"/>
    <col min="16" max="16" width="16.1818181818182" style="101" customWidth="1"/>
    <col min="17" max="17" width="13.5545454545455" style="101" customWidth="1"/>
    <col min="18" max="18" width="8.72727272727273" style="101" customWidth="1"/>
    <col min="19" max="19" width="7.27272727272727" style="101" customWidth="1"/>
    <col min="20" max="20" width="9.72727272727273" style="101" customWidth="1"/>
    <col min="21" max="21" width="4.46363636363636" style="101" customWidth="1"/>
    <col min="22" max="22" width="13.5545454545455" style="101" customWidth="1"/>
    <col min="23" max="23" width="12.0909090909091" style="101" customWidth="1"/>
    <col min="24" max="16384" width="8.72727272727273" style="96"/>
  </cols>
  <sheetData>
    <row r="1" customHeight="1" spans="1:1">
      <c r="A1" s="172" t="s">
        <v>10160</v>
      </c>
    </row>
    <row r="2" customHeight="1" spans="1:23">
      <c r="A2" s="162" t="s">
        <v>10161</v>
      </c>
      <c r="B2" s="162"/>
      <c r="C2" s="162"/>
      <c r="D2" s="162"/>
      <c r="E2" s="162"/>
      <c r="F2" s="162"/>
      <c r="G2" s="162"/>
      <c r="H2" s="162"/>
      <c r="I2" s="162"/>
      <c r="J2" s="162"/>
      <c r="K2" s="162"/>
      <c r="L2" s="162"/>
      <c r="M2" s="162"/>
      <c r="N2" s="162"/>
      <c r="O2" s="162"/>
      <c r="P2" s="162"/>
      <c r="Q2" s="162"/>
      <c r="R2" s="162"/>
      <c r="S2" s="162"/>
      <c r="T2" s="162"/>
      <c r="U2" s="162"/>
      <c r="V2" s="162"/>
      <c r="W2" s="162"/>
    </row>
    <row r="4" s="146" customFormat="1" ht="27" customHeight="1" spans="1:23">
      <c r="A4" s="151" t="s">
        <v>9868</v>
      </c>
      <c r="B4" s="50" t="s">
        <v>9869</v>
      </c>
      <c r="C4" s="150"/>
      <c r="D4" s="150"/>
      <c r="E4" s="50"/>
      <c r="F4" s="173" t="s">
        <v>10162</v>
      </c>
      <c r="G4" s="174"/>
      <c r="H4" s="174"/>
      <c r="I4" s="174"/>
      <c r="J4" s="179"/>
      <c r="K4" s="124" t="s">
        <v>9742</v>
      </c>
      <c r="L4" s="124"/>
      <c r="M4" s="124"/>
      <c r="N4" s="124"/>
      <c r="O4" s="124"/>
      <c r="P4" s="124"/>
      <c r="Q4" s="168" t="s">
        <v>10085</v>
      </c>
      <c r="R4" s="168"/>
      <c r="S4" s="168"/>
      <c r="T4" s="168"/>
      <c r="U4" s="168"/>
      <c r="V4" s="168"/>
      <c r="W4" s="89" t="s">
        <v>9743</v>
      </c>
    </row>
    <row r="5" s="147" customFormat="1" ht="26" spans="1:23">
      <c r="A5" s="154"/>
      <c r="B5" s="50" t="s">
        <v>9872</v>
      </c>
      <c r="C5" s="150" t="s">
        <v>9873</v>
      </c>
      <c r="D5" s="150" t="s">
        <v>9874</v>
      </c>
      <c r="E5" s="50" t="s">
        <v>10163</v>
      </c>
      <c r="F5" s="126" t="s">
        <v>10164</v>
      </c>
      <c r="G5" s="126" t="s">
        <v>10165</v>
      </c>
      <c r="H5" s="126" t="s">
        <v>9746</v>
      </c>
      <c r="I5" s="47" t="s">
        <v>10166</v>
      </c>
      <c r="J5" s="126" t="s">
        <v>10167</v>
      </c>
      <c r="K5" s="89" t="s">
        <v>9751</v>
      </c>
      <c r="L5" s="89" t="s">
        <v>9752</v>
      </c>
      <c r="M5" s="89" t="s">
        <v>9753</v>
      </c>
      <c r="N5" s="89" t="s">
        <v>9747</v>
      </c>
      <c r="O5" s="89" t="s">
        <v>28</v>
      </c>
      <c r="P5" s="89" t="s">
        <v>9877</v>
      </c>
      <c r="Q5" s="89" t="s">
        <v>9751</v>
      </c>
      <c r="R5" s="89" t="s">
        <v>9752</v>
      </c>
      <c r="S5" s="89" t="s">
        <v>9753</v>
      </c>
      <c r="T5" s="89" t="s">
        <v>9747</v>
      </c>
      <c r="U5" s="89" t="s">
        <v>28</v>
      </c>
      <c r="V5" s="89" t="s">
        <v>9754</v>
      </c>
      <c r="W5" s="89"/>
    </row>
    <row r="6" s="93" customFormat="1" ht="32" customHeight="1" spans="1:23">
      <c r="A6" s="106" t="s">
        <v>10168</v>
      </c>
      <c r="B6" s="175" t="s">
        <v>10169</v>
      </c>
      <c r="C6" s="156" t="s">
        <v>10170</v>
      </c>
      <c r="D6" s="156" t="s">
        <v>10171</v>
      </c>
      <c r="E6" s="176" t="s">
        <v>10172</v>
      </c>
      <c r="F6" s="134">
        <v>12847034.52</v>
      </c>
      <c r="G6" s="134">
        <v>61103.58</v>
      </c>
      <c r="H6" s="134"/>
      <c r="I6" s="134"/>
      <c r="J6" s="134">
        <v>12908138.1</v>
      </c>
      <c r="K6" s="134"/>
      <c r="L6" s="134"/>
      <c r="M6" s="134"/>
      <c r="N6" s="134"/>
      <c r="O6" s="134"/>
      <c r="P6" s="134">
        <v>0</v>
      </c>
      <c r="Q6" s="134"/>
      <c r="R6" s="134"/>
      <c r="S6" s="134"/>
      <c r="T6" s="134"/>
      <c r="U6" s="134"/>
      <c r="V6" s="134"/>
      <c r="W6" s="134" t="s">
        <v>9808</v>
      </c>
    </row>
    <row r="7" s="93" customFormat="1" ht="26" customHeight="1" spans="1:23">
      <c r="A7" s="106" t="s">
        <v>10173</v>
      </c>
      <c r="B7" s="175" t="s">
        <v>10174</v>
      </c>
      <c r="C7" s="156" t="s">
        <v>10175</v>
      </c>
      <c r="D7" s="156"/>
      <c r="E7" s="176" t="s">
        <v>10176</v>
      </c>
      <c r="F7" s="134">
        <v>1522300000</v>
      </c>
      <c r="G7" s="134">
        <v>1141473179.22347</v>
      </c>
      <c r="H7" s="134">
        <v>22834500</v>
      </c>
      <c r="I7" s="134">
        <v>1620000</v>
      </c>
      <c r="J7" s="134">
        <v>2688227679.22347</v>
      </c>
      <c r="K7" s="134">
        <v>1522300000</v>
      </c>
      <c r="L7" s="134">
        <v>1041119016</v>
      </c>
      <c r="M7" s="134"/>
      <c r="N7" s="134"/>
      <c r="O7" s="134">
        <v>1620000</v>
      </c>
      <c r="P7" s="134">
        <f>SUM(K7:O7)</f>
        <v>2565039016</v>
      </c>
      <c r="Q7" s="134"/>
      <c r="R7" s="134"/>
      <c r="S7" s="134"/>
      <c r="T7" s="134"/>
      <c r="U7" s="134"/>
      <c r="V7" s="134"/>
      <c r="W7" s="134" t="s">
        <v>9759</v>
      </c>
    </row>
    <row r="8" s="93" customFormat="1" ht="32" customHeight="1" spans="1:23">
      <c r="A8" s="106" t="s">
        <v>10177</v>
      </c>
      <c r="B8" s="175" t="s">
        <v>10178</v>
      </c>
      <c r="C8" s="156" t="s">
        <v>10179</v>
      </c>
      <c r="D8" s="156" t="s">
        <v>10180</v>
      </c>
      <c r="E8" s="176" t="s">
        <v>10181</v>
      </c>
      <c r="F8" s="134">
        <v>66000000</v>
      </c>
      <c r="G8" s="134">
        <v>716320</v>
      </c>
      <c r="H8" s="134"/>
      <c r="I8" s="134"/>
      <c r="J8" s="134">
        <v>66716320</v>
      </c>
      <c r="K8" s="134"/>
      <c r="L8" s="134"/>
      <c r="M8" s="134"/>
      <c r="N8" s="134"/>
      <c r="O8" s="134"/>
      <c r="P8" s="134">
        <v>0</v>
      </c>
      <c r="Q8" s="134"/>
      <c r="R8" s="134"/>
      <c r="S8" s="134"/>
      <c r="T8" s="134"/>
      <c r="U8" s="134"/>
      <c r="V8" s="134"/>
      <c r="W8" s="134" t="s">
        <v>9808</v>
      </c>
    </row>
    <row r="9" s="93" customFormat="1" ht="32" customHeight="1" spans="1:23">
      <c r="A9" s="106" t="s">
        <v>10182</v>
      </c>
      <c r="B9" s="175" t="s">
        <v>10178</v>
      </c>
      <c r="C9" s="156" t="s">
        <v>10179</v>
      </c>
      <c r="D9" s="156" t="s">
        <v>10180</v>
      </c>
      <c r="E9" s="176" t="s">
        <v>10183</v>
      </c>
      <c r="F9" s="134">
        <v>39800000</v>
      </c>
      <c r="G9" s="134">
        <v>117808</v>
      </c>
      <c r="H9" s="134"/>
      <c r="I9" s="134"/>
      <c r="J9" s="134">
        <v>39917808</v>
      </c>
      <c r="K9" s="134"/>
      <c r="L9" s="134"/>
      <c r="M9" s="134"/>
      <c r="N9" s="134"/>
      <c r="O9" s="134"/>
      <c r="P9" s="134">
        <v>0</v>
      </c>
      <c r="Q9" s="134"/>
      <c r="R9" s="134"/>
      <c r="S9" s="134"/>
      <c r="T9" s="134"/>
      <c r="U9" s="134"/>
      <c r="V9" s="134"/>
      <c r="W9" s="134" t="s">
        <v>9808</v>
      </c>
    </row>
    <row r="10" s="93" customFormat="1" ht="38" customHeight="1" spans="1:23">
      <c r="A10" s="106" t="s">
        <v>10184</v>
      </c>
      <c r="B10" s="175" t="s">
        <v>10185</v>
      </c>
      <c r="C10" s="156" t="s">
        <v>10186</v>
      </c>
      <c r="D10" s="156" t="s">
        <v>10187</v>
      </c>
      <c r="E10" s="176" t="s">
        <v>10188</v>
      </c>
      <c r="F10" s="134">
        <v>27254642.4</v>
      </c>
      <c r="G10" s="134">
        <v>12403.78</v>
      </c>
      <c r="H10" s="134"/>
      <c r="I10" s="134">
        <v>13904</v>
      </c>
      <c r="J10" s="134">
        <v>27280950.18</v>
      </c>
      <c r="K10" s="134"/>
      <c r="L10" s="134"/>
      <c r="M10" s="134"/>
      <c r="N10" s="134"/>
      <c r="O10" s="134"/>
      <c r="P10" s="134">
        <v>0</v>
      </c>
      <c r="Q10" s="134"/>
      <c r="R10" s="134"/>
      <c r="S10" s="134"/>
      <c r="T10" s="134"/>
      <c r="U10" s="134"/>
      <c r="V10" s="134"/>
      <c r="W10" s="134" t="s">
        <v>9808</v>
      </c>
    </row>
    <row r="11" s="93" customFormat="1" ht="32" customHeight="1" spans="1:23">
      <c r="A11" s="106" t="s">
        <v>10189</v>
      </c>
      <c r="B11" s="175" t="s">
        <v>10185</v>
      </c>
      <c r="C11" s="156" t="s">
        <v>10186</v>
      </c>
      <c r="D11" s="156" t="s">
        <v>10187</v>
      </c>
      <c r="E11" s="176" t="s">
        <v>10190</v>
      </c>
      <c r="F11" s="177">
        <v>425575.07</v>
      </c>
      <c r="G11" s="178">
        <v>15594.67</v>
      </c>
      <c r="H11" s="134"/>
      <c r="I11" s="180">
        <v>9496.18</v>
      </c>
      <c r="J11" s="134">
        <v>450665.92</v>
      </c>
      <c r="K11" s="134">
        <v>425575.07</v>
      </c>
      <c r="L11" s="134">
        <v>15594.67</v>
      </c>
      <c r="M11" s="134"/>
      <c r="N11" s="134"/>
      <c r="O11" s="134"/>
      <c r="P11" s="134">
        <v>441169.74</v>
      </c>
      <c r="Q11" s="134"/>
      <c r="R11" s="134"/>
      <c r="S11" s="134"/>
      <c r="T11" s="134"/>
      <c r="U11" s="134"/>
      <c r="V11" s="134"/>
      <c r="W11" s="134" t="s">
        <v>9759</v>
      </c>
    </row>
    <row r="12" s="93" customFormat="1" ht="32" customHeight="1" spans="1:23">
      <c r="A12" s="106" t="s">
        <v>10191</v>
      </c>
      <c r="B12" s="175" t="s">
        <v>10192</v>
      </c>
      <c r="C12" s="156" t="s">
        <v>10193</v>
      </c>
      <c r="D12" s="156" t="s">
        <v>10194</v>
      </c>
      <c r="E12" s="176" t="s">
        <v>10195</v>
      </c>
      <c r="F12" s="134">
        <v>3746946.36</v>
      </c>
      <c r="G12" s="134"/>
      <c r="H12" s="134"/>
      <c r="I12" s="134"/>
      <c r="J12" s="134">
        <v>3746946.36</v>
      </c>
      <c r="K12" s="134"/>
      <c r="L12" s="134"/>
      <c r="M12" s="134"/>
      <c r="N12" s="134"/>
      <c r="O12" s="134"/>
      <c r="P12" s="134">
        <v>0</v>
      </c>
      <c r="Q12" s="134"/>
      <c r="R12" s="134"/>
      <c r="S12" s="134"/>
      <c r="T12" s="134"/>
      <c r="U12" s="134"/>
      <c r="V12" s="134"/>
      <c r="W12" s="134" t="s">
        <v>9808</v>
      </c>
    </row>
  </sheetData>
  <mergeCells count="7">
    <mergeCell ref="A2:W2"/>
    <mergeCell ref="B4:E4"/>
    <mergeCell ref="F4:J4"/>
    <mergeCell ref="K4:P4"/>
    <mergeCell ref="Q4:V4"/>
    <mergeCell ref="A4:A5"/>
    <mergeCell ref="W4:W5"/>
  </mergeCells>
  <conditionalFormatting sqref="A4:A1048576">
    <cfRule type="duplicateValues" dxfId="1" priority="3"/>
  </conditionalFormatting>
  <pageMargins left="0.354166666666667" right="0.156944444444444" top="1" bottom="1" header="0.5" footer="0.5"/>
  <pageSetup paperSize="9" scale="49" fitToHeight="0"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1"/>
  <sheetViews>
    <sheetView workbookViewId="0">
      <pane xSplit="3" ySplit="5" topLeftCell="E187" activePane="bottomRight" state="frozen"/>
      <selection/>
      <selection pane="topRight"/>
      <selection pane="bottomLeft"/>
      <selection pane="bottomRight" activeCell="A27" sqref="$A27:$XFD30"/>
    </sheetView>
  </sheetViews>
  <sheetFormatPr defaultColWidth="8.72727272727273" defaultRowHeight="18" customHeight="1"/>
  <cols>
    <col min="1" max="1" width="5.36363636363636" style="98" customWidth="1"/>
    <col min="2" max="2" width="9.09090909090909" style="148" customWidth="1"/>
    <col min="3" max="3" width="19.0909090909091" style="149" customWidth="1"/>
    <col min="4" max="4" width="12.9090909090909" style="98" customWidth="1"/>
    <col min="5" max="5" width="15.1818181818182" style="100" customWidth="1"/>
    <col min="6" max="6" width="14.6363636363636" style="100" customWidth="1"/>
    <col min="7" max="7" width="16.1818181818182" style="100" customWidth="1"/>
    <col min="8" max="8" width="12.3636363636364" style="100" customWidth="1"/>
    <col min="9" max="9" width="10.8181818181818" style="100" customWidth="1"/>
    <col min="10" max="10" width="12.3636363636364" style="100" customWidth="1"/>
    <col min="11" max="11" width="16.1818181818182" style="100" customWidth="1"/>
    <col min="12" max="13" width="14.6363636363636" style="100" customWidth="1"/>
    <col min="14" max="14" width="12.0909090909091" style="100" customWidth="1"/>
    <col min="15" max="15" width="11.9090909090909" style="100" customWidth="1"/>
    <col min="16" max="16" width="10.7272727272727" style="100" customWidth="1"/>
    <col min="17" max="17" width="16.3363636363636" style="100" customWidth="1"/>
    <col min="18" max="18" width="10.5545454545455" style="100" customWidth="1"/>
    <col min="19" max="16384" width="8.72727272727273" style="98"/>
  </cols>
  <sheetData>
    <row r="1" customHeight="1" spans="1:1">
      <c r="A1" s="148" t="s">
        <v>10196</v>
      </c>
    </row>
    <row r="2" customHeight="1" spans="2:18">
      <c r="B2" s="162" t="s">
        <v>10197</v>
      </c>
      <c r="C2" s="163"/>
      <c r="D2" s="162"/>
      <c r="E2" s="162"/>
      <c r="F2" s="162"/>
      <c r="G2" s="162"/>
      <c r="H2" s="162"/>
      <c r="I2" s="162"/>
      <c r="J2" s="162"/>
      <c r="K2" s="162"/>
      <c r="L2" s="162"/>
      <c r="M2" s="162"/>
      <c r="N2" s="148"/>
      <c r="O2" s="162"/>
      <c r="P2" s="162"/>
      <c r="Q2" s="162"/>
      <c r="R2" s="162"/>
    </row>
    <row r="4" s="147" customFormat="1" ht="23" customHeight="1" spans="1:18">
      <c r="A4" s="150" t="s">
        <v>9867</v>
      </c>
      <c r="B4" s="151" t="s">
        <v>9868</v>
      </c>
      <c r="C4" s="50" t="s">
        <v>9869</v>
      </c>
      <c r="D4" s="150"/>
      <c r="E4" s="164" t="s">
        <v>10198</v>
      </c>
      <c r="F4" s="124" t="s">
        <v>9742</v>
      </c>
      <c r="G4" s="124"/>
      <c r="H4" s="124"/>
      <c r="I4" s="124"/>
      <c r="J4" s="124"/>
      <c r="K4" s="124"/>
      <c r="L4" s="168" t="s">
        <v>10085</v>
      </c>
      <c r="M4" s="168"/>
      <c r="N4" s="168"/>
      <c r="O4" s="168"/>
      <c r="P4" s="168"/>
      <c r="Q4" s="168"/>
      <c r="R4" s="89" t="s">
        <v>9743</v>
      </c>
    </row>
    <row r="5" s="147" customFormat="1" ht="24" customHeight="1" spans="1:18">
      <c r="A5" s="150"/>
      <c r="B5" s="154"/>
      <c r="C5" s="50" t="s">
        <v>9872</v>
      </c>
      <c r="D5" s="150" t="s">
        <v>9874</v>
      </c>
      <c r="E5" s="165"/>
      <c r="F5" s="89" t="s">
        <v>9751</v>
      </c>
      <c r="G5" s="89" t="s">
        <v>9752</v>
      </c>
      <c r="H5" s="89" t="s">
        <v>9753</v>
      </c>
      <c r="I5" s="89" t="s">
        <v>9747</v>
      </c>
      <c r="J5" s="89" t="s">
        <v>28</v>
      </c>
      <c r="K5" s="89" t="s">
        <v>9877</v>
      </c>
      <c r="L5" s="89" t="s">
        <v>9751</v>
      </c>
      <c r="M5" s="89" t="s">
        <v>9752</v>
      </c>
      <c r="N5" s="89" t="s">
        <v>9753</v>
      </c>
      <c r="O5" s="89" t="s">
        <v>9747</v>
      </c>
      <c r="P5" s="89" t="s">
        <v>28</v>
      </c>
      <c r="Q5" s="89" t="s">
        <v>10199</v>
      </c>
      <c r="R5" s="89"/>
    </row>
    <row r="6" s="148" customFormat="1" customHeight="1" spans="1:18">
      <c r="A6" s="106">
        <v>1</v>
      </c>
      <c r="B6" s="106" t="s">
        <v>10200</v>
      </c>
      <c r="C6" s="155" t="s">
        <v>10201</v>
      </c>
      <c r="D6" s="156" t="s">
        <v>10202</v>
      </c>
      <c r="E6" s="133">
        <v>1020000</v>
      </c>
      <c r="F6" s="133"/>
      <c r="G6" s="133"/>
      <c r="H6" s="133"/>
      <c r="I6" s="133"/>
      <c r="J6" s="133"/>
      <c r="K6" s="133">
        <v>0</v>
      </c>
      <c r="L6" s="133"/>
      <c r="M6" s="133"/>
      <c r="N6" s="133"/>
      <c r="O6" s="133"/>
      <c r="P6" s="133"/>
      <c r="Q6" s="133"/>
      <c r="R6" s="133" t="s">
        <v>9808</v>
      </c>
    </row>
    <row r="7" s="148" customFormat="1" customHeight="1" spans="1:18">
      <c r="A7" s="106">
        <v>2</v>
      </c>
      <c r="B7" s="106" t="s">
        <v>10203</v>
      </c>
      <c r="C7" s="155" t="s">
        <v>10204</v>
      </c>
      <c r="D7" s="156" t="s">
        <v>10205</v>
      </c>
      <c r="E7" s="133">
        <v>179500</v>
      </c>
      <c r="F7" s="133"/>
      <c r="G7" s="133"/>
      <c r="H7" s="133"/>
      <c r="I7" s="133"/>
      <c r="J7" s="133"/>
      <c r="K7" s="133"/>
      <c r="L7" s="133">
        <v>100000</v>
      </c>
      <c r="M7" s="133"/>
      <c r="N7" s="133"/>
      <c r="O7" s="133"/>
      <c r="P7" s="133"/>
      <c r="Q7" s="133">
        <v>100000</v>
      </c>
      <c r="R7" s="133" t="s">
        <v>9881</v>
      </c>
    </row>
    <row r="8" s="148" customFormat="1" ht="28" customHeight="1" spans="1:18">
      <c r="A8" s="106">
        <v>3</v>
      </c>
      <c r="B8" s="106" t="s">
        <v>10206</v>
      </c>
      <c r="C8" s="155" t="s">
        <v>10207</v>
      </c>
      <c r="D8" s="166" t="s">
        <v>10208</v>
      </c>
      <c r="E8" s="133">
        <v>600000</v>
      </c>
      <c r="F8" s="133">
        <v>600000</v>
      </c>
      <c r="G8" s="133"/>
      <c r="H8" s="133"/>
      <c r="I8" s="133"/>
      <c r="J8" s="133"/>
      <c r="K8" s="133">
        <v>600000</v>
      </c>
      <c r="L8" s="133"/>
      <c r="M8" s="133"/>
      <c r="N8" s="133"/>
      <c r="O8" s="133"/>
      <c r="P8" s="133"/>
      <c r="Q8" s="133"/>
      <c r="R8" s="133" t="s">
        <v>9759</v>
      </c>
    </row>
    <row r="9" s="148" customFormat="1" ht="23" customHeight="1" spans="1:18">
      <c r="A9" s="106">
        <v>4</v>
      </c>
      <c r="B9" s="106" t="s">
        <v>10209</v>
      </c>
      <c r="C9" s="155" t="s">
        <v>10210</v>
      </c>
      <c r="D9" s="155" t="s">
        <v>10211</v>
      </c>
      <c r="E9" s="133">
        <v>150000</v>
      </c>
      <c r="F9" s="133">
        <v>150000</v>
      </c>
      <c r="G9" s="133"/>
      <c r="H9" s="133"/>
      <c r="I9" s="133"/>
      <c r="J9" s="133"/>
      <c r="K9" s="133">
        <v>150000</v>
      </c>
      <c r="L9" s="133"/>
      <c r="M9" s="133"/>
      <c r="N9" s="133"/>
      <c r="O9" s="133"/>
      <c r="P9" s="133"/>
      <c r="Q9" s="133"/>
      <c r="R9" s="133" t="s">
        <v>9759</v>
      </c>
    </row>
    <row r="10" s="148" customFormat="1" customHeight="1" spans="1:18">
      <c r="A10" s="106">
        <v>5</v>
      </c>
      <c r="B10" s="106" t="s">
        <v>10212</v>
      </c>
      <c r="C10" s="155" t="s">
        <v>10213</v>
      </c>
      <c r="D10" s="156" t="s">
        <v>10214</v>
      </c>
      <c r="E10" s="133">
        <v>7501266</v>
      </c>
      <c r="F10" s="133">
        <v>5300000</v>
      </c>
      <c r="G10" s="133"/>
      <c r="H10" s="133"/>
      <c r="I10" s="133"/>
      <c r="J10" s="133"/>
      <c r="K10" s="133">
        <v>5300000</v>
      </c>
      <c r="L10" s="169"/>
      <c r="M10" s="133"/>
      <c r="N10" s="133"/>
      <c r="O10" s="133"/>
      <c r="P10" s="133"/>
      <c r="Q10" s="133"/>
      <c r="R10" s="133" t="s">
        <v>9759</v>
      </c>
    </row>
    <row r="11" s="148" customFormat="1" ht="27" customHeight="1" spans="1:18">
      <c r="A11" s="106">
        <v>6</v>
      </c>
      <c r="B11" s="115" t="s">
        <v>10215</v>
      </c>
      <c r="C11" s="155" t="s">
        <v>10216</v>
      </c>
      <c r="D11" s="115" t="s">
        <v>10217</v>
      </c>
      <c r="E11" s="133">
        <v>4309741.66</v>
      </c>
      <c r="F11" s="133">
        <v>3000000</v>
      </c>
      <c r="G11" s="133">
        <v>1257454.17</v>
      </c>
      <c r="H11" s="133"/>
      <c r="I11" s="133"/>
      <c r="J11" s="133"/>
      <c r="K11" s="133">
        <v>4257454.17</v>
      </c>
      <c r="L11" s="133"/>
      <c r="M11" s="133"/>
      <c r="N11" s="133"/>
      <c r="O11" s="133"/>
      <c r="P11" s="133"/>
      <c r="Q11" s="133"/>
      <c r="R11" s="133" t="s">
        <v>9759</v>
      </c>
    </row>
    <row r="12" s="148" customFormat="1" ht="28" customHeight="1" spans="1:18">
      <c r="A12" s="106">
        <v>7</v>
      </c>
      <c r="B12" s="115" t="s">
        <v>10218</v>
      </c>
      <c r="C12" s="155" t="s">
        <v>10219</v>
      </c>
      <c r="D12" s="115" t="s">
        <v>10220</v>
      </c>
      <c r="E12" s="133">
        <v>491406.65</v>
      </c>
      <c r="F12" s="133">
        <v>300000</v>
      </c>
      <c r="G12" s="133">
        <v>82176.25</v>
      </c>
      <c r="H12" s="133"/>
      <c r="I12" s="133"/>
      <c r="J12" s="133">
        <v>6553</v>
      </c>
      <c r="K12" s="133">
        <v>388729.25</v>
      </c>
      <c r="L12" s="133"/>
      <c r="M12" s="133"/>
      <c r="N12" s="133"/>
      <c r="O12" s="133"/>
      <c r="P12" s="133"/>
      <c r="Q12" s="133"/>
      <c r="R12" s="133" t="s">
        <v>9759</v>
      </c>
    </row>
    <row r="13" s="148" customFormat="1" customHeight="1" spans="1:18">
      <c r="A13" s="106">
        <v>8</v>
      </c>
      <c r="B13" s="106" t="s">
        <v>10221</v>
      </c>
      <c r="C13" s="155" t="s">
        <v>10222</v>
      </c>
      <c r="D13" s="156" t="s">
        <v>10223</v>
      </c>
      <c r="E13" s="133">
        <v>763161</v>
      </c>
      <c r="F13" s="133"/>
      <c r="G13" s="133"/>
      <c r="H13" s="133"/>
      <c r="I13" s="133"/>
      <c r="J13" s="133"/>
      <c r="K13" s="133"/>
      <c r="L13" s="133">
        <v>300000</v>
      </c>
      <c r="M13" s="133">
        <v>412790.01</v>
      </c>
      <c r="N13" s="133"/>
      <c r="O13" s="133"/>
      <c r="P13" s="133"/>
      <c r="Q13" s="133">
        <v>712790.01</v>
      </c>
      <c r="R13" s="133" t="s">
        <v>9881</v>
      </c>
    </row>
    <row r="14" s="148" customFormat="1" customHeight="1" spans="1:18">
      <c r="A14" s="106">
        <v>9</v>
      </c>
      <c r="B14" s="106" t="s">
        <v>10224</v>
      </c>
      <c r="C14" s="155" t="s">
        <v>9919</v>
      </c>
      <c r="D14" s="156" t="s">
        <v>9920</v>
      </c>
      <c r="E14" s="133">
        <v>1536150</v>
      </c>
      <c r="F14" s="133"/>
      <c r="G14" s="133"/>
      <c r="H14" s="133"/>
      <c r="I14" s="133"/>
      <c r="J14" s="133"/>
      <c r="K14" s="133">
        <v>0</v>
      </c>
      <c r="L14" s="133"/>
      <c r="M14" s="133"/>
      <c r="N14" s="133"/>
      <c r="O14" s="133"/>
      <c r="P14" s="133"/>
      <c r="Q14" s="133"/>
      <c r="R14" s="133" t="s">
        <v>9808</v>
      </c>
    </row>
    <row r="15" s="148" customFormat="1" customHeight="1" spans="1:18">
      <c r="A15" s="106">
        <v>10</v>
      </c>
      <c r="B15" s="106" t="s">
        <v>10225</v>
      </c>
      <c r="C15" s="155" t="s">
        <v>10226</v>
      </c>
      <c r="D15" s="156" t="s">
        <v>10220</v>
      </c>
      <c r="E15" s="133">
        <v>2486649</v>
      </c>
      <c r="F15" s="133"/>
      <c r="G15" s="133"/>
      <c r="H15" s="133"/>
      <c r="I15" s="133"/>
      <c r="J15" s="133"/>
      <c r="K15" s="133"/>
      <c r="L15" s="133">
        <v>600000</v>
      </c>
      <c r="M15" s="133">
        <v>1210628.99</v>
      </c>
      <c r="N15" s="133"/>
      <c r="O15" s="133"/>
      <c r="P15" s="133"/>
      <c r="Q15" s="133">
        <v>1810628.99</v>
      </c>
      <c r="R15" s="133" t="s">
        <v>9881</v>
      </c>
    </row>
    <row r="16" s="148" customFormat="1" customHeight="1" spans="1:18">
      <c r="A16" s="106">
        <v>11</v>
      </c>
      <c r="B16" s="106" t="s">
        <v>10227</v>
      </c>
      <c r="C16" s="155" t="s">
        <v>10228</v>
      </c>
      <c r="D16" s="156" t="s">
        <v>10220</v>
      </c>
      <c r="E16" s="133">
        <v>798786</v>
      </c>
      <c r="F16" s="133"/>
      <c r="G16" s="133"/>
      <c r="H16" s="133"/>
      <c r="I16" s="133"/>
      <c r="J16" s="133"/>
      <c r="K16" s="133"/>
      <c r="L16" s="133">
        <v>200000</v>
      </c>
      <c r="M16" s="133">
        <v>384541.34</v>
      </c>
      <c r="N16" s="133"/>
      <c r="O16" s="133"/>
      <c r="P16" s="133"/>
      <c r="Q16" s="133">
        <v>584541.34</v>
      </c>
      <c r="R16" s="133" t="s">
        <v>9881</v>
      </c>
    </row>
    <row r="17" s="148" customFormat="1" customHeight="1" spans="1:18">
      <c r="A17" s="106">
        <v>12</v>
      </c>
      <c r="B17" s="106" t="s">
        <v>10229</v>
      </c>
      <c r="C17" s="155" t="s">
        <v>10230</v>
      </c>
      <c r="D17" s="156" t="s">
        <v>10231</v>
      </c>
      <c r="E17" s="133">
        <v>1101258</v>
      </c>
      <c r="F17" s="133"/>
      <c r="G17" s="133"/>
      <c r="H17" s="133"/>
      <c r="I17" s="133"/>
      <c r="J17" s="133"/>
      <c r="K17" s="133"/>
      <c r="L17" s="133">
        <v>400000</v>
      </c>
      <c r="M17" s="133">
        <v>550386.69</v>
      </c>
      <c r="N17" s="133"/>
      <c r="O17" s="133"/>
      <c r="P17" s="133"/>
      <c r="Q17" s="133">
        <v>950386.69</v>
      </c>
      <c r="R17" s="133" t="s">
        <v>9881</v>
      </c>
    </row>
    <row r="18" s="148" customFormat="1" customHeight="1" spans="1:18">
      <c r="A18" s="106">
        <v>13</v>
      </c>
      <c r="B18" s="106" t="s">
        <v>10232</v>
      </c>
      <c r="C18" s="155" t="s">
        <v>10233</v>
      </c>
      <c r="D18" s="156" t="s">
        <v>10234</v>
      </c>
      <c r="E18" s="133">
        <v>1272693</v>
      </c>
      <c r="F18" s="133"/>
      <c r="G18" s="133"/>
      <c r="H18" s="133"/>
      <c r="I18" s="133"/>
      <c r="J18" s="133"/>
      <c r="K18" s="133"/>
      <c r="L18" s="133">
        <v>500000</v>
      </c>
      <c r="M18" s="133">
        <v>687983.31</v>
      </c>
      <c r="N18" s="133"/>
      <c r="O18" s="133"/>
      <c r="P18" s="133"/>
      <c r="Q18" s="133">
        <v>1187983.31</v>
      </c>
      <c r="R18" s="133" t="s">
        <v>9881</v>
      </c>
    </row>
    <row r="19" s="148" customFormat="1" customHeight="1" spans="1:18">
      <c r="A19" s="106">
        <v>14</v>
      </c>
      <c r="B19" s="106" t="s">
        <v>10235</v>
      </c>
      <c r="C19" s="155" t="s">
        <v>10236</v>
      </c>
      <c r="D19" s="156" t="s">
        <v>10237</v>
      </c>
      <c r="E19" s="133">
        <v>925120</v>
      </c>
      <c r="F19" s="133"/>
      <c r="G19" s="133"/>
      <c r="H19" s="133"/>
      <c r="I19" s="133"/>
      <c r="J19" s="133"/>
      <c r="K19" s="133"/>
      <c r="L19" s="133">
        <v>400000</v>
      </c>
      <c r="M19" s="133">
        <v>550386.69</v>
      </c>
      <c r="N19" s="133"/>
      <c r="O19" s="133"/>
      <c r="P19" s="133"/>
      <c r="Q19" s="133">
        <v>950386.69</v>
      </c>
      <c r="R19" s="133" t="s">
        <v>9881</v>
      </c>
    </row>
    <row r="20" s="148" customFormat="1" ht="25" customHeight="1" spans="1:18">
      <c r="A20" s="106">
        <v>15</v>
      </c>
      <c r="B20" s="106" t="s">
        <v>10238</v>
      </c>
      <c r="C20" s="155" t="s">
        <v>10239</v>
      </c>
      <c r="D20" s="156" t="s">
        <v>10240</v>
      </c>
      <c r="E20" s="133">
        <v>3110000</v>
      </c>
      <c r="F20" s="133"/>
      <c r="G20" s="133"/>
      <c r="H20" s="133"/>
      <c r="I20" s="133"/>
      <c r="J20" s="133"/>
      <c r="K20" s="133">
        <v>0</v>
      </c>
      <c r="L20" s="133"/>
      <c r="M20" s="133"/>
      <c r="N20" s="133"/>
      <c r="O20" s="133"/>
      <c r="P20" s="133"/>
      <c r="Q20" s="133"/>
      <c r="R20" s="133" t="s">
        <v>9808</v>
      </c>
    </row>
    <row r="21" s="148" customFormat="1" customHeight="1" spans="1:18">
      <c r="A21" s="106">
        <v>16</v>
      </c>
      <c r="B21" s="106" t="s">
        <v>10241</v>
      </c>
      <c r="C21" s="155" t="s">
        <v>10242</v>
      </c>
      <c r="D21" s="156" t="s">
        <v>10243</v>
      </c>
      <c r="E21" s="133">
        <v>1277333</v>
      </c>
      <c r="F21" s="133"/>
      <c r="G21" s="133"/>
      <c r="H21" s="133"/>
      <c r="I21" s="133"/>
      <c r="J21" s="133"/>
      <c r="K21" s="133"/>
      <c r="L21" s="133">
        <v>500000</v>
      </c>
      <c r="M21" s="133">
        <v>694983.31</v>
      </c>
      <c r="N21" s="133"/>
      <c r="O21" s="133"/>
      <c r="P21" s="133"/>
      <c r="Q21" s="133">
        <v>1194983.31</v>
      </c>
      <c r="R21" s="133" t="s">
        <v>9881</v>
      </c>
    </row>
    <row r="22" s="148" customFormat="1" customHeight="1" spans="1:18">
      <c r="A22" s="106">
        <v>17</v>
      </c>
      <c r="B22" s="106" t="s">
        <v>10244</v>
      </c>
      <c r="C22" s="155" t="s">
        <v>10245</v>
      </c>
      <c r="D22" s="156" t="s">
        <v>10246</v>
      </c>
      <c r="E22" s="133">
        <v>9007267</v>
      </c>
      <c r="F22" s="133">
        <v>2000000</v>
      </c>
      <c r="G22" s="133">
        <v>2821266.67</v>
      </c>
      <c r="H22" s="133"/>
      <c r="I22" s="133"/>
      <c r="J22" s="133"/>
      <c r="K22" s="133">
        <v>4821266.67</v>
      </c>
      <c r="L22" s="133"/>
      <c r="M22" s="133"/>
      <c r="N22" s="133"/>
      <c r="O22" s="133"/>
      <c r="P22" s="133"/>
      <c r="Q22" s="133"/>
      <c r="R22" s="133" t="s">
        <v>9759</v>
      </c>
    </row>
    <row r="23" s="148" customFormat="1" customHeight="1" spans="1:18">
      <c r="A23" s="106">
        <v>18</v>
      </c>
      <c r="B23" s="106" t="s">
        <v>10247</v>
      </c>
      <c r="C23" s="155" t="s">
        <v>10245</v>
      </c>
      <c r="D23" s="156" t="s">
        <v>10246</v>
      </c>
      <c r="E23" s="133">
        <v>350000</v>
      </c>
      <c r="F23" s="133"/>
      <c r="G23" s="133"/>
      <c r="H23" s="133"/>
      <c r="I23" s="133"/>
      <c r="J23" s="133"/>
      <c r="K23" s="133"/>
      <c r="L23" s="133">
        <v>350000</v>
      </c>
      <c r="M23" s="133">
        <v>493721.67</v>
      </c>
      <c r="N23" s="133"/>
      <c r="O23" s="133"/>
      <c r="P23" s="133"/>
      <c r="Q23" s="133">
        <v>843721.67</v>
      </c>
      <c r="R23" s="133" t="s">
        <v>9881</v>
      </c>
    </row>
    <row r="24" s="148" customFormat="1" customHeight="1" spans="1:18">
      <c r="A24" s="106">
        <v>19</v>
      </c>
      <c r="B24" s="106" t="s">
        <v>10248</v>
      </c>
      <c r="C24" s="155" t="s">
        <v>10245</v>
      </c>
      <c r="D24" s="156" t="s">
        <v>10246</v>
      </c>
      <c r="E24" s="133">
        <v>400000</v>
      </c>
      <c r="F24" s="133"/>
      <c r="G24" s="133"/>
      <c r="H24" s="133"/>
      <c r="I24" s="133"/>
      <c r="J24" s="133"/>
      <c r="K24" s="133"/>
      <c r="L24" s="133">
        <v>400000</v>
      </c>
      <c r="M24" s="133">
        <v>564253.36</v>
      </c>
      <c r="N24" s="133"/>
      <c r="O24" s="133"/>
      <c r="P24" s="133"/>
      <c r="Q24" s="133">
        <v>964253.36</v>
      </c>
      <c r="R24" s="133" t="s">
        <v>9881</v>
      </c>
    </row>
    <row r="25" s="148" customFormat="1" customHeight="1" spans="1:18">
      <c r="A25" s="106">
        <v>20</v>
      </c>
      <c r="B25" s="106" t="s">
        <v>10249</v>
      </c>
      <c r="C25" s="155" t="s">
        <v>10245</v>
      </c>
      <c r="D25" s="156" t="s">
        <v>10246</v>
      </c>
      <c r="E25" s="133">
        <v>450000</v>
      </c>
      <c r="F25" s="133"/>
      <c r="G25" s="133"/>
      <c r="H25" s="133"/>
      <c r="I25" s="133"/>
      <c r="J25" s="133"/>
      <c r="K25" s="133"/>
      <c r="L25" s="133">
        <v>450000</v>
      </c>
      <c r="M25" s="133">
        <v>634785</v>
      </c>
      <c r="N25" s="133"/>
      <c r="O25" s="133"/>
      <c r="P25" s="133"/>
      <c r="Q25" s="133">
        <v>1084785</v>
      </c>
      <c r="R25" s="133" t="s">
        <v>9881</v>
      </c>
    </row>
    <row r="26" s="148" customFormat="1" customHeight="1" spans="1:18">
      <c r="A26" s="106">
        <v>21</v>
      </c>
      <c r="B26" s="106" t="s">
        <v>10250</v>
      </c>
      <c r="C26" s="155" t="s">
        <v>10245</v>
      </c>
      <c r="D26" s="156" t="s">
        <v>10246</v>
      </c>
      <c r="E26" s="133">
        <v>1250000</v>
      </c>
      <c r="F26" s="133"/>
      <c r="G26" s="133"/>
      <c r="H26" s="133"/>
      <c r="I26" s="133"/>
      <c r="J26" s="133"/>
      <c r="K26" s="133"/>
      <c r="L26" s="133">
        <v>1250000</v>
      </c>
      <c r="M26" s="133">
        <v>1803291.67</v>
      </c>
      <c r="N26" s="133"/>
      <c r="O26" s="133"/>
      <c r="P26" s="133"/>
      <c r="Q26" s="133">
        <v>3053291.67</v>
      </c>
      <c r="R26" s="133" t="s">
        <v>9881</v>
      </c>
    </row>
    <row r="27" s="148" customFormat="1" customHeight="1" spans="1:18">
      <c r="A27" s="106">
        <v>22</v>
      </c>
      <c r="B27" s="106" t="s">
        <v>10251</v>
      </c>
      <c r="C27" s="107" t="s">
        <v>10252</v>
      </c>
      <c r="D27" s="167" t="s">
        <v>10253</v>
      </c>
      <c r="E27" s="129">
        <v>2554674</v>
      </c>
      <c r="F27" s="129"/>
      <c r="G27" s="129"/>
      <c r="H27" s="129"/>
      <c r="I27" s="129"/>
      <c r="J27" s="129"/>
      <c r="K27" s="129"/>
      <c r="L27" s="129">
        <v>1000000</v>
      </c>
      <c r="M27" s="129">
        <v>1375966.66</v>
      </c>
      <c r="N27" s="129"/>
      <c r="O27" s="129"/>
      <c r="P27" s="129"/>
      <c r="Q27" s="129">
        <v>2375966.66</v>
      </c>
      <c r="R27" s="129" t="s">
        <v>9881</v>
      </c>
    </row>
    <row r="28" s="148" customFormat="1" customHeight="1" spans="1:18">
      <c r="A28" s="106">
        <v>23</v>
      </c>
      <c r="B28" s="106" t="s">
        <v>10254</v>
      </c>
      <c r="C28" s="107" t="s">
        <v>10255</v>
      </c>
      <c r="D28" s="167" t="s">
        <v>10256</v>
      </c>
      <c r="E28" s="129">
        <v>1788274</v>
      </c>
      <c r="F28" s="129"/>
      <c r="G28" s="129"/>
      <c r="H28" s="129"/>
      <c r="I28" s="129"/>
      <c r="J28" s="129"/>
      <c r="K28" s="129"/>
      <c r="L28" s="129">
        <v>700000</v>
      </c>
      <c r="M28" s="129">
        <v>963176.66</v>
      </c>
      <c r="N28" s="129"/>
      <c r="O28" s="129"/>
      <c r="P28" s="129"/>
      <c r="Q28" s="129">
        <v>1663176.66</v>
      </c>
      <c r="R28" s="129" t="s">
        <v>9881</v>
      </c>
    </row>
    <row r="29" s="148" customFormat="1" customHeight="1" spans="1:18">
      <c r="A29" s="106">
        <v>24</v>
      </c>
      <c r="B29" s="106" t="s">
        <v>10257</v>
      </c>
      <c r="C29" s="107" t="s">
        <v>10258</v>
      </c>
      <c r="D29" s="167" t="s">
        <v>10259</v>
      </c>
      <c r="E29" s="129">
        <v>1532800</v>
      </c>
      <c r="F29" s="129"/>
      <c r="G29" s="129"/>
      <c r="H29" s="129"/>
      <c r="I29" s="129"/>
      <c r="J29" s="129"/>
      <c r="K29" s="129"/>
      <c r="L29" s="129">
        <v>600000</v>
      </c>
      <c r="M29" s="129">
        <v>825579.99</v>
      </c>
      <c r="N29" s="129"/>
      <c r="O29" s="129"/>
      <c r="P29" s="129"/>
      <c r="Q29" s="129">
        <v>1425579.99</v>
      </c>
      <c r="R29" s="129" t="s">
        <v>9881</v>
      </c>
    </row>
    <row r="30" s="148" customFormat="1" customHeight="1" spans="1:18">
      <c r="A30" s="106">
        <v>25</v>
      </c>
      <c r="B30" s="106" t="s">
        <v>10260</v>
      </c>
      <c r="C30" s="107" t="s">
        <v>10261</v>
      </c>
      <c r="D30" s="167" t="s">
        <v>10262</v>
      </c>
      <c r="E30" s="129">
        <v>2401394</v>
      </c>
      <c r="F30" s="129"/>
      <c r="G30" s="129"/>
      <c r="H30" s="129"/>
      <c r="I30" s="129"/>
      <c r="J30" s="129"/>
      <c r="K30" s="129"/>
      <c r="L30" s="129">
        <v>940000</v>
      </c>
      <c r="M30" s="129">
        <v>1293408.69</v>
      </c>
      <c r="N30" s="129"/>
      <c r="O30" s="129"/>
      <c r="P30" s="129"/>
      <c r="Q30" s="129">
        <v>2233408.69</v>
      </c>
      <c r="R30" s="129" t="s">
        <v>9881</v>
      </c>
    </row>
    <row r="31" s="148" customFormat="1" customHeight="1" spans="1:18">
      <c r="A31" s="106">
        <v>26</v>
      </c>
      <c r="B31" s="106" t="s">
        <v>10263</v>
      </c>
      <c r="C31" s="155" t="s">
        <v>10264</v>
      </c>
      <c r="D31" s="156" t="s">
        <v>10265</v>
      </c>
      <c r="E31" s="133">
        <v>766400</v>
      </c>
      <c r="F31" s="133"/>
      <c r="G31" s="133"/>
      <c r="H31" s="133"/>
      <c r="I31" s="133"/>
      <c r="J31" s="133"/>
      <c r="K31" s="133"/>
      <c r="L31" s="133">
        <v>300000</v>
      </c>
      <c r="M31" s="133">
        <v>412790.01</v>
      </c>
      <c r="N31" s="133"/>
      <c r="O31" s="133"/>
      <c r="P31" s="133"/>
      <c r="Q31" s="133">
        <v>712790.01</v>
      </c>
      <c r="R31" s="133" t="s">
        <v>9881</v>
      </c>
    </row>
    <row r="32" s="148" customFormat="1" customHeight="1" spans="1:18">
      <c r="A32" s="106">
        <v>27</v>
      </c>
      <c r="B32" s="106" t="s">
        <v>10266</v>
      </c>
      <c r="C32" s="155" t="s">
        <v>10267</v>
      </c>
      <c r="D32" s="156" t="s">
        <v>10268</v>
      </c>
      <c r="E32" s="133">
        <v>1699853.12</v>
      </c>
      <c r="F32" s="133"/>
      <c r="G32" s="133"/>
      <c r="H32" s="133"/>
      <c r="I32" s="133"/>
      <c r="J32" s="133"/>
      <c r="K32" s="133"/>
      <c r="L32" s="133">
        <v>600000</v>
      </c>
      <c r="M32" s="133">
        <v>825579.99</v>
      </c>
      <c r="N32" s="133"/>
      <c r="O32" s="133"/>
      <c r="P32" s="133"/>
      <c r="Q32" s="133">
        <v>1425579.99</v>
      </c>
      <c r="R32" s="133" t="s">
        <v>9881</v>
      </c>
    </row>
    <row r="33" s="148" customFormat="1" customHeight="1" spans="1:18">
      <c r="A33" s="106">
        <v>28</v>
      </c>
      <c r="B33" s="106" t="s">
        <v>10269</v>
      </c>
      <c r="C33" s="155" t="s">
        <v>10270</v>
      </c>
      <c r="D33" s="156" t="s">
        <v>10271</v>
      </c>
      <c r="E33" s="133">
        <v>1277333</v>
      </c>
      <c r="F33" s="133"/>
      <c r="G33" s="133"/>
      <c r="H33" s="133"/>
      <c r="I33" s="133"/>
      <c r="J33" s="133"/>
      <c r="K33" s="133"/>
      <c r="L33" s="133">
        <v>500000</v>
      </c>
      <c r="M33" s="133">
        <v>694983.31</v>
      </c>
      <c r="N33" s="133"/>
      <c r="O33" s="133"/>
      <c r="P33" s="133"/>
      <c r="Q33" s="133">
        <v>1194983.31</v>
      </c>
      <c r="R33" s="133" t="s">
        <v>9881</v>
      </c>
    </row>
    <row r="34" s="148" customFormat="1" customHeight="1" spans="1:18">
      <c r="A34" s="106">
        <v>29</v>
      </c>
      <c r="B34" s="106" t="s">
        <v>10272</v>
      </c>
      <c r="C34" s="155" t="s">
        <v>544</v>
      </c>
      <c r="D34" s="156" t="s">
        <v>10273</v>
      </c>
      <c r="E34" s="133">
        <v>2972076.8</v>
      </c>
      <c r="F34" s="133"/>
      <c r="G34" s="133"/>
      <c r="H34" s="133"/>
      <c r="I34" s="133"/>
      <c r="J34" s="133"/>
      <c r="K34" s="133"/>
      <c r="L34" s="133">
        <v>900000</v>
      </c>
      <c r="M34" s="133">
        <v>1331918</v>
      </c>
      <c r="N34" s="133"/>
      <c r="O34" s="133"/>
      <c r="P34" s="133"/>
      <c r="Q34" s="133">
        <v>2231918</v>
      </c>
      <c r="R34" s="133" t="s">
        <v>9881</v>
      </c>
    </row>
    <row r="35" s="148" customFormat="1" customHeight="1" spans="1:18">
      <c r="A35" s="106">
        <v>30</v>
      </c>
      <c r="B35" s="106" t="s">
        <v>10274</v>
      </c>
      <c r="C35" s="155" t="s">
        <v>10275</v>
      </c>
      <c r="D35" s="156" t="s">
        <v>10276</v>
      </c>
      <c r="E35" s="133">
        <v>1699853.12</v>
      </c>
      <c r="F35" s="133"/>
      <c r="G35" s="133"/>
      <c r="H35" s="133"/>
      <c r="I35" s="133"/>
      <c r="J35" s="133"/>
      <c r="K35" s="133"/>
      <c r="L35" s="133">
        <v>600000</v>
      </c>
      <c r="M35" s="133">
        <v>825579.99</v>
      </c>
      <c r="N35" s="133"/>
      <c r="O35" s="133"/>
      <c r="P35" s="133"/>
      <c r="Q35" s="133">
        <v>1425579.99</v>
      </c>
      <c r="R35" s="133" t="s">
        <v>9881</v>
      </c>
    </row>
    <row r="36" s="148" customFormat="1" customHeight="1" spans="1:18">
      <c r="A36" s="106">
        <v>31</v>
      </c>
      <c r="B36" s="106" t="s">
        <v>10277</v>
      </c>
      <c r="C36" s="155" t="s">
        <v>10278</v>
      </c>
      <c r="D36" s="156" t="s">
        <v>10279</v>
      </c>
      <c r="E36" s="133">
        <v>510933</v>
      </c>
      <c r="F36" s="133"/>
      <c r="G36" s="133"/>
      <c r="H36" s="133"/>
      <c r="I36" s="133"/>
      <c r="J36" s="133"/>
      <c r="K36" s="133"/>
      <c r="L36" s="133">
        <v>200000</v>
      </c>
      <c r="M36" s="133">
        <v>275193.34</v>
      </c>
      <c r="N36" s="133"/>
      <c r="O36" s="133"/>
      <c r="P36" s="133"/>
      <c r="Q36" s="133">
        <v>475193.34</v>
      </c>
      <c r="R36" s="133" t="s">
        <v>9881</v>
      </c>
    </row>
    <row r="37" s="148" customFormat="1" customHeight="1" spans="1:18">
      <c r="A37" s="106">
        <v>32</v>
      </c>
      <c r="B37" s="106" t="s">
        <v>10280</v>
      </c>
      <c r="C37" s="155" t="s">
        <v>10281</v>
      </c>
      <c r="D37" s="156" t="s">
        <v>10282</v>
      </c>
      <c r="E37" s="133">
        <v>7290988</v>
      </c>
      <c r="F37" s="133"/>
      <c r="G37" s="133"/>
      <c r="H37" s="133"/>
      <c r="I37" s="133"/>
      <c r="J37" s="133"/>
      <c r="K37" s="133"/>
      <c r="L37" s="133">
        <v>2150000</v>
      </c>
      <c r="M37" s="133">
        <v>3342892.56</v>
      </c>
      <c r="N37" s="133"/>
      <c r="O37" s="133"/>
      <c r="P37" s="133"/>
      <c r="Q37" s="133">
        <v>5492892.56</v>
      </c>
      <c r="R37" s="133" t="s">
        <v>9881</v>
      </c>
    </row>
    <row r="38" s="148" customFormat="1" customHeight="1" spans="1:18">
      <c r="A38" s="106">
        <v>33</v>
      </c>
      <c r="B38" s="106" t="s">
        <v>10283</v>
      </c>
      <c r="C38" s="155" t="s">
        <v>10284</v>
      </c>
      <c r="D38" s="156" t="s">
        <v>10285</v>
      </c>
      <c r="E38" s="133">
        <v>1249696</v>
      </c>
      <c r="F38" s="133"/>
      <c r="G38" s="133"/>
      <c r="H38" s="133"/>
      <c r="I38" s="133"/>
      <c r="J38" s="133"/>
      <c r="K38" s="133"/>
      <c r="L38" s="133">
        <v>400000</v>
      </c>
      <c r="M38" s="133">
        <v>550386.69</v>
      </c>
      <c r="N38" s="133"/>
      <c r="O38" s="133"/>
      <c r="P38" s="133"/>
      <c r="Q38" s="133">
        <v>950386.69</v>
      </c>
      <c r="R38" s="133" t="s">
        <v>9881</v>
      </c>
    </row>
    <row r="39" s="148" customFormat="1" customHeight="1" spans="1:18">
      <c r="A39" s="106">
        <v>34</v>
      </c>
      <c r="B39" s="106" t="s">
        <v>10286</v>
      </c>
      <c r="C39" s="155" t="s">
        <v>10287</v>
      </c>
      <c r="D39" s="156" t="s">
        <v>10288</v>
      </c>
      <c r="E39" s="133">
        <v>2499392</v>
      </c>
      <c r="F39" s="133"/>
      <c r="G39" s="133"/>
      <c r="H39" s="133"/>
      <c r="I39" s="133"/>
      <c r="J39" s="133"/>
      <c r="K39" s="133"/>
      <c r="L39" s="133">
        <v>800000</v>
      </c>
      <c r="M39" s="133">
        <v>1100773.34</v>
      </c>
      <c r="N39" s="133"/>
      <c r="O39" s="133"/>
      <c r="P39" s="133"/>
      <c r="Q39" s="133">
        <v>1900773.34</v>
      </c>
      <c r="R39" s="133" t="s">
        <v>9881</v>
      </c>
    </row>
    <row r="40" s="148" customFormat="1" customHeight="1" spans="1:18">
      <c r="A40" s="106">
        <v>35</v>
      </c>
      <c r="B40" s="106" t="s">
        <v>10289</v>
      </c>
      <c r="C40" s="155" t="s">
        <v>10290</v>
      </c>
      <c r="D40" s="156" t="s">
        <v>10291</v>
      </c>
      <c r="E40" s="133">
        <v>4686360</v>
      </c>
      <c r="F40" s="133"/>
      <c r="G40" s="133"/>
      <c r="H40" s="133"/>
      <c r="I40" s="133"/>
      <c r="J40" s="133"/>
      <c r="K40" s="133"/>
      <c r="L40" s="133">
        <v>1500000</v>
      </c>
      <c r="M40" s="133">
        <v>2063949.99</v>
      </c>
      <c r="N40" s="133"/>
      <c r="O40" s="133"/>
      <c r="P40" s="133"/>
      <c r="Q40" s="133">
        <v>3563949.99</v>
      </c>
      <c r="R40" s="133" t="s">
        <v>9881</v>
      </c>
    </row>
    <row r="41" s="148" customFormat="1" customHeight="1" spans="1:18">
      <c r="A41" s="106">
        <v>36</v>
      </c>
      <c r="B41" s="106" t="s">
        <v>10292</v>
      </c>
      <c r="C41" s="155" t="s">
        <v>10293</v>
      </c>
      <c r="D41" s="156" t="s">
        <v>10294</v>
      </c>
      <c r="E41" s="133">
        <v>627200</v>
      </c>
      <c r="F41" s="133"/>
      <c r="G41" s="133"/>
      <c r="H41" s="133"/>
      <c r="I41" s="133"/>
      <c r="J41" s="133"/>
      <c r="K41" s="133"/>
      <c r="L41" s="133">
        <v>200000</v>
      </c>
      <c r="M41" s="133">
        <v>275193.34</v>
      </c>
      <c r="N41" s="133"/>
      <c r="O41" s="133"/>
      <c r="P41" s="133"/>
      <c r="Q41" s="133">
        <v>475193.34</v>
      </c>
      <c r="R41" s="133" t="s">
        <v>9881</v>
      </c>
    </row>
    <row r="42" s="148" customFormat="1" customHeight="1" spans="1:18">
      <c r="A42" s="106">
        <v>37</v>
      </c>
      <c r="B42" s="106" t="s">
        <v>10295</v>
      </c>
      <c r="C42" s="155" t="s">
        <v>10296</v>
      </c>
      <c r="D42" s="156" t="s">
        <v>10297</v>
      </c>
      <c r="E42" s="133">
        <v>2943320</v>
      </c>
      <c r="F42" s="133"/>
      <c r="G42" s="133"/>
      <c r="H42" s="133"/>
      <c r="I42" s="133"/>
      <c r="J42" s="133"/>
      <c r="K42" s="133"/>
      <c r="L42" s="133">
        <v>580000</v>
      </c>
      <c r="M42" s="133">
        <v>1504887.89</v>
      </c>
      <c r="N42" s="133"/>
      <c r="O42" s="133"/>
      <c r="P42" s="133"/>
      <c r="Q42" s="133">
        <v>2084887.89</v>
      </c>
      <c r="R42" s="133" t="s">
        <v>9881</v>
      </c>
    </row>
    <row r="43" s="148" customFormat="1" customHeight="1" spans="1:18">
      <c r="A43" s="106">
        <v>38</v>
      </c>
      <c r="B43" s="106" t="s">
        <v>10298</v>
      </c>
      <c r="C43" s="155" t="s">
        <v>10299</v>
      </c>
      <c r="D43" s="156" t="s">
        <v>10300</v>
      </c>
      <c r="E43" s="133">
        <v>4762800</v>
      </c>
      <c r="F43" s="133"/>
      <c r="G43" s="133"/>
      <c r="H43" s="133"/>
      <c r="I43" s="133"/>
      <c r="J43" s="133"/>
      <c r="K43" s="133"/>
      <c r="L43" s="133">
        <v>1500000</v>
      </c>
      <c r="M43" s="133">
        <v>2063949.99</v>
      </c>
      <c r="N43" s="133"/>
      <c r="O43" s="133"/>
      <c r="P43" s="133"/>
      <c r="Q43" s="133">
        <v>3563949.99</v>
      </c>
      <c r="R43" s="133" t="s">
        <v>9881</v>
      </c>
    </row>
    <row r="44" s="148" customFormat="1" customHeight="1" spans="1:18">
      <c r="A44" s="106">
        <v>39</v>
      </c>
      <c r="B44" s="106" t="s">
        <v>10301</v>
      </c>
      <c r="C44" s="155" t="s">
        <v>10302</v>
      </c>
      <c r="D44" s="156" t="s">
        <v>10303</v>
      </c>
      <c r="E44" s="133">
        <v>1587600</v>
      </c>
      <c r="F44" s="133"/>
      <c r="G44" s="133"/>
      <c r="H44" s="133"/>
      <c r="I44" s="133"/>
      <c r="J44" s="133"/>
      <c r="K44" s="133"/>
      <c r="L44" s="133">
        <v>500000</v>
      </c>
      <c r="M44" s="133">
        <v>687983.31</v>
      </c>
      <c r="N44" s="133"/>
      <c r="O44" s="133"/>
      <c r="P44" s="133"/>
      <c r="Q44" s="133">
        <v>1187983.31</v>
      </c>
      <c r="R44" s="133" t="s">
        <v>9881</v>
      </c>
    </row>
    <row r="45" s="148" customFormat="1" customHeight="1" spans="1:18">
      <c r="A45" s="106">
        <v>40</v>
      </c>
      <c r="B45" s="106" t="s">
        <v>10304</v>
      </c>
      <c r="C45" s="155" t="s">
        <v>10305</v>
      </c>
      <c r="D45" s="156" t="s">
        <v>10306</v>
      </c>
      <c r="E45" s="133">
        <v>1420720</v>
      </c>
      <c r="F45" s="133"/>
      <c r="G45" s="133"/>
      <c r="H45" s="133"/>
      <c r="I45" s="133"/>
      <c r="J45" s="133"/>
      <c r="K45" s="133"/>
      <c r="L45" s="133">
        <v>400000</v>
      </c>
      <c r="M45" s="133">
        <v>631518.89</v>
      </c>
      <c r="N45" s="133"/>
      <c r="O45" s="133"/>
      <c r="P45" s="133"/>
      <c r="Q45" s="133">
        <v>1031518.89</v>
      </c>
      <c r="R45" s="133" t="s">
        <v>9881</v>
      </c>
    </row>
    <row r="46" s="148" customFormat="1" customHeight="1" spans="1:18">
      <c r="A46" s="106">
        <v>41</v>
      </c>
      <c r="B46" s="106" t="s">
        <v>10307</v>
      </c>
      <c r="C46" s="155" t="s">
        <v>10308</v>
      </c>
      <c r="D46" s="156" t="s">
        <v>10309</v>
      </c>
      <c r="E46" s="133">
        <v>195110</v>
      </c>
      <c r="F46" s="133"/>
      <c r="G46" s="133"/>
      <c r="H46" s="133"/>
      <c r="I46" s="133"/>
      <c r="J46" s="133"/>
      <c r="K46" s="133"/>
      <c r="L46" s="133">
        <v>0</v>
      </c>
      <c r="M46" s="133">
        <v>25800</v>
      </c>
      <c r="N46" s="133"/>
      <c r="O46" s="133"/>
      <c r="P46" s="133"/>
      <c r="Q46" s="133">
        <v>25800</v>
      </c>
      <c r="R46" s="133" t="s">
        <v>9881</v>
      </c>
    </row>
    <row r="47" s="148" customFormat="1" customHeight="1" spans="1:18">
      <c r="A47" s="106">
        <v>42</v>
      </c>
      <c r="B47" s="106" t="s">
        <v>10310</v>
      </c>
      <c r="C47" s="155" t="s">
        <v>10311</v>
      </c>
      <c r="D47" s="156" t="s">
        <v>10312</v>
      </c>
      <c r="E47" s="133">
        <v>1271046</v>
      </c>
      <c r="F47" s="133"/>
      <c r="G47" s="133"/>
      <c r="H47" s="133"/>
      <c r="I47" s="133"/>
      <c r="J47" s="133"/>
      <c r="K47" s="133"/>
      <c r="L47" s="133">
        <v>250000</v>
      </c>
      <c r="M47" s="133">
        <v>343991.67</v>
      </c>
      <c r="N47" s="133"/>
      <c r="O47" s="133"/>
      <c r="P47" s="133"/>
      <c r="Q47" s="133">
        <v>593991.67</v>
      </c>
      <c r="R47" s="133" t="s">
        <v>9881</v>
      </c>
    </row>
    <row r="48" s="148" customFormat="1" customHeight="1" spans="1:18">
      <c r="A48" s="106">
        <v>43</v>
      </c>
      <c r="B48" s="106" t="s">
        <v>10313</v>
      </c>
      <c r="C48" s="155" t="s">
        <v>10314</v>
      </c>
      <c r="D48" s="156" t="s">
        <v>10315</v>
      </c>
      <c r="E48" s="133">
        <v>1271046</v>
      </c>
      <c r="F48" s="133"/>
      <c r="G48" s="133"/>
      <c r="H48" s="133"/>
      <c r="I48" s="133"/>
      <c r="J48" s="133"/>
      <c r="K48" s="133"/>
      <c r="L48" s="133">
        <v>250000</v>
      </c>
      <c r="M48" s="133">
        <v>343991.67</v>
      </c>
      <c r="N48" s="133"/>
      <c r="O48" s="133"/>
      <c r="P48" s="133"/>
      <c r="Q48" s="133">
        <v>593991.67</v>
      </c>
      <c r="R48" s="133" t="s">
        <v>9881</v>
      </c>
    </row>
    <row r="49" s="148" customFormat="1" customHeight="1" spans="1:18">
      <c r="A49" s="106">
        <v>44</v>
      </c>
      <c r="B49" s="106" t="s">
        <v>10316</v>
      </c>
      <c r="C49" s="155" t="s">
        <v>10317</v>
      </c>
      <c r="D49" s="156" t="s">
        <v>10318</v>
      </c>
      <c r="E49" s="133">
        <v>1874544</v>
      </c>
      <c r="F49" s="133"/>
      <c r="G49" s="133"/>
      <c r="H49" s="133"/>
      <c r="I49" s="133"/>
      <c r="J49" s="133"/>
      <c r="K49" s="133"/>
      <c r="L49" s="133">
        <v>600000</v>
      </c>
      <c r="M49" s="133">
        <v>825579.99</v>
      </c>
      <c r="N49" s="133"/>
      <c r="O49" s="133"/>
      <c r="P49" s="133"/>
      <c r="Q49" s="133">
        <v>1425579.99</v>
      </c>
      <c r="R49" s="133" t="s">
        <v>9881</v>
      </c>
    </row>
    <row r="50" s="148" customFormat="1" customHeight="1" spans="1:18">
      <c r="A50" s="106">
        <v>45</v>
      </c>
      <c r="B50" s="106" t="s">
        <v>10319</v>
      </c>
      <c r="C50" s="155" t="s">
        <v>10320</v>
      </c>
      <c r="D50" s="156" t="s">
        <v>10321</v>
      </c>
      <c r="E50" s="133">
        <v>1514299</v>
      </c>
      <c r="F50" s="133"/>
      <c r="G50" s="133"/>
      <c r="H50" s="133"/>
      <c r="I50" s="133"/>
      <c r="J50" s="133"/>
      <c r="K50" s="133"/>
      <c r="L50" s="133">
        <v>500000</v>
      </c>
      <c r="M50" s="133">
        <v>657983.31</v>
      </c>
      <c r="N50" s="133"/>
      <c r="O50" s="133"/>
      <c r="P50" s="133"/>
      <c r="Q50" s="133">
        <v>1157983.31</v>
      </c>
      <c r="R50" s="133" t="s">
        <v>9881</v>
      </c>
    </row>
    <row r="51" s="148" customFormat="1" customHeight="1" spans="1:18">
      <c r="A51" s="106">
        <v>46</v>
      </c>
      <c r="B51" s="106" t="s">
        <v>10322</v>
      </c>
      <c r="C51" s="155" t="s">
        <v>10323</v>
      </c>
      <c r="D51" s="156" t="s">
        <v>10324</v>
      </c>
      <c r="E51" s="133">
        <v>930000</v>
      </c>
      <c r="F51" s="133"/>
      <c r="G51" s="133"/>
      <c r="H51" s="133"/>
      <c r="I51" s="133"/>
      <c r="J51" s="133"/>
      <c r="K51" s="133"/>
      <c r="L51" s="133">
        <v>300000</v>
      </c>
      <c r="M51" s="133">
        <v>158350</v>
      </c>
      <c r="N51" s="133"/>
      <c r="O51" s="133"/>
      <c r="P51" s="133"/>
      <c r="Q51" s="133">
        <v>458350</v>
      </c>
      <c r="R51" s="133" t="s">
        <v>9881</v>
      </c>
    </row>
    <row r="52" s="148" customFormat="1" customHeight="1" spans="1:18">
      <c r="A52" s="106">
        <v>47</v>
      </c>
      <c r="B52" s="106" t="s">
        <v>10325</v>
      </c>
      <c r="C52" s="155" t="s">
        <v>10326</v>
      </c>
      <c r="D52" s="156" t="s">
        <v>10327</v>
      </c>
      <c r="E52" s="133">
        <v>3124240</v>
      </c>
      <c r="F52" s="133"/>
      <c r="G52" s="133"/>
      <c r="H52" s="133"/>
      <c r="I52" s="133"/>
      <c r="J52" s="133"/>
      <c r="K52" s="133"/>
      <c r="L52" s="133">
        <v>1000000</v>
      </c>
      <c r="M52" s="133">
        <v>1375966.66</v>
      </c>
      <c r="N52" s="133"/>
      <c r="O52" s="133"/>
      <c r="P52" s="133"/>
      <c r="Q52" s="133">
        <v>2375966.66</v>
      </c>
      <c r="R52" s="133" t="s">
        <v>9881</v>
      </c>
    </row>
    <row r="53" s="148" customFormat="1" customHeight="1" spans="1:18">
      <c r="A53" s="106">
        <v>48</v>
      </c>
      <c r="B53" s="106" t="s">
        <v>10328</v>
      </c>
      <c r="C53" s="155" t="s">
        <v>10329</v>
      </c>
      <c r="D53" s="156" t="s">
        <v>10330</v>
      </c>
      <c r="E53" s="133">
        <v>557699</v>
      </c>
      <c r="F53" s="133"/>
      <c r="G53" s="133"/>
      <c r="H53" s="133"/>
      <c r="I53" s="133"/>
      <c r="J53" s="133"/>
      <c r="K53" s="133"/>
      <c r="L53" s="133">
        <v>0</v>
      </c>
      <c r="M53" s="133">
        <v>329066.66</v>
      </c>
      <c r="N53" s="133"/>
      <c r="O53" s="133"/>
      <c r="P53" s="133"/>
      <c r="Q53" s="133">
        <v>329066.66</v>
      </c>
      <c r="R53" s="133" t="s">
        <v>9881</v>
      </c>
    </row>
    <row r="54" s="148" customFormat="1" customHeight="1" spans="1:18">
      <c r="A54" s="106">
        <v>49</v>
      </c>
      <c r="B54" s="106" t="s">
        <v>10331</v>
      </c>
      <c r="C54" s="155" t="s">
        <v>10332</v>
      </c>
      <c r="D54" s="156" t="s">
        <v>10324</v>
      </c>
      <c r="E54" s="133">
        <v>2810219.2</v>
      </c>
      <c r="F54" s="133"/>
      <c r="G54" s="133"/>
      <c r="H54" s="133"/>
      <c r="I54" s="133"/>
      <c r="J54" s="133"/>
      <c r="K54" s="133"/>
      <c r="L54" s="133">
        <v>900000</v>
      </c>
      <c r="M54" s="133">
        <v>1230757</v>
      </c>
      <c r="N54" s="133"/>
      <c r="O54" s="133"/>
      <c r="P54" s="133"/>
      <c r="Q54" s="133">
        <v>2130757</v>
      </c>
      <c r="R54" s="133" t="s">
        <v>9881</v>
      </c>
    </row>
    <row r="55" s="148" customFormat="1" customHeight="1" spans="1:18">
      <c r="A55" s="106">
        <v>50</v>
      </c>
      <c r="B55" s="106" t="s">
        <v>10333</v>
      </c>
      <c r="C55" s="155" t="s">
        <v>10334</v>
      </c>
      <c r="D55" s="156" t="s">
        <v>10335</v>
      </c>
      <c r="E55" s="133">
        <v>130000</v>
      </c>
      <c r="F55" s="133"/>
      <c r="G55" s="133"/>
      <c r="H55" s="133"/>
      <c r="I55" s="133"/>
      <c r="J55" s="133"/>
      <c r="K55" s="133"/>
      <c r="L55" s="133">
        <v>0</v>
      </c>
      <c r="M55" s="133">
        <v>79533.33</v>
      </c>
      <c r="N55" s="133"/>
      <c r="O55" s="133"/>
      <c r="P55" s="133"/>
      <c r="Q55" s="133">
        <v>79533.33</v>
      </c>
      <c r="R55" s="133" t="s">
        <v>9881</v>
      </c>
    </row>
    <row r="56" s="148" customFormat="1" customHeight="1" spans="1:18">
      <c r="A56" s="106">
        <v>51</v>
      </c>
      <c r="B56" s="106" t="s">
        <v>10336</v>
      </c>
      <c r="C56" s="155" t="s">
        <v>10337</v>
      </c>
      <c r="D56" s="156" t="s">
        <v>10338</v>
      </c>
      <c r="E56" s="133">
        <v>1926288</v>
      </c>
      <c r="F56" s="133"/>
      <c r="G56" s="133"/>
      <c r="H56" s="133"/>
      <c r="I56" s="133"/>
      <c r="J56" s="133"/>
      <c r="K56" s="133"/>
      <c r="L56" s="133">
        <v>700000</v>
      </c>
      <c r="M56" s="133">
        <v>963176.66</v>
      </c>
      <c r="N56" s="133"/>
      <c r="O56" s="133"/>
      <c r="P56" s="133"/>
      <c r="Q56" s="133">
        <v>1663176.66</v>
      </c>
      <c r="R56" s="133" t="s">
        <v>9881</v>
      </c>
    </row>
    <row r="57" s="148" customFormat="1" customHeight="1" spans="1:18">
      <c r="A57" s="106">
        <v>52</v>
      </c>
      <c r="B57" s="106" t="s">
        <v>10339</v>
      </c>
      <c r="C57" s="155" t="s">
        <v>10340</v>
      </c>
      <c r="D57" s="156" t="s">
        <v>10341</v>
      </c>
      <c r="E57" s="133">
        <v>1375920</v>
      </c>
      <c r="F57" s="133"/>
      <c r="G57" s="133"/>
      <c r="H57" s="133"/>
      <c r="I57" s="133"/>
      <c r="J57" s="133"/>
      <c r="K57" s="133"/>
      <c r="L57" s="133">
        <v>500000</v>
      </c>
      <c r="M57" s="133">
        <v>687983.31</v>
      </c>
      <c r="N57" s="133"/>
      <c r="O57" s="133"/>
      <c r="P57" s="133"/>
      <c r="Q57" s="133">
        <v>1187983.31</v>
      </c>
      <c r="R57" s="133" t="s">
        <v>9881</v>
      </c>
    </row>
    <row r="58" s="148" customFormat="1" customHeight="1" spans="1:18">
      <c r="A58" s="106">
        <v>53</v>
      </c>
      <c r="B58" s="106" t="s">
        <v>10342</v>
      </c>
      <c r="C58" s="155" t="s">
        <v>10343</v>
      </c>
      <c r="D58" s="156" t="s">
        <v>10344</v>
      </c>
      <c r="E58" s="133">
        <v>275184</v>
      </c>
      <c r="F58" s="133"/>
      <c r="G58" s="133"/>
      <c r="H58" s="133"/>
      <c r="I58" s="133"/>
      <c r="J58" s="133"/>
      <c r="K58" s="133"/>
      <c r="L58" s="133">
        <v>100000</v>
      </c>
      <c r="M58" s="133">
        <v>137596.67</v>
      </c>
      <c r="N58" s="133"/>
      <c r="O58" s="133"/>
      <c r="P58" s="133"/>
      <c r="Q58" s="133">
        <v>237596.67</v>
      </c>
      <c r="R58" s="133" t="s">
        <v>9881</v>
      </c>
    </row>
    <row r="59" s="148" customFormat="1" customHeight="1" spans="1:18">
      <c r="A59" s="106">
        <v>54</v>
      </c>
      <c r="B59" s="106" t="s">
        <v>10345</v>
      </c>
      <c r="C59" s="155" t="s">
        <v>10346</v>
      </c>
      <c r="D59" s="156" t="s">
        <v>10347</v>
      </c>
      <c r="E59" s="133">
        <v>1375920</v>
      </c>
      <c r="F59" s="133"/>
      <c r="G59" s="133"/>
      <c r="H59" s="133"/>
      <c r="I59" s="133"/>
      <c r="J59" s="133"/>
      <c r="K59" s="133"/>
      <c r="L59" s="133">
        <v>500000</v>
      </c>
      <c r="M59" s="133">
        <v>687983.31</v>
      </c>
      <c r="N59" s="133"/>
      <c r="O59" s="133"/>
      <c r="P59" s="133"/>
      <c r="Q59" s="133">
        <v>1187983.31</v>
      </c>
      <c r="R59" s="133" t="s">
        <v>9881</v>
      </c>
    </row>
    <row r="60" s="148" customFormat="1" customHeight="1" spans="1:18">
      <c r="A60" s="106">
        <v>55</v>
      </c>
      <c r="B60" s="106" t="s">
        <v>10348</v>
      </c>
      <c r="C60" s="155" t="s">
        <v>7218</v>
      </c>
      <c r="D60" s="156" t="s">
        <v>10349</v>
      </c>
      <c r="E60" s="133">
        <v>1786000</v>
      </c>
      <c r="F60" s="133"/>
      <c r="G60" s="133"/>
      <c r="H60" s="133"/>
      <c r="I60" s="133"/>
      <c r="J60" s="133"/>
      <c r="K60" s="133"/>
      <c r="L60" s="133">
        <v>500000</v>
      </c>
      <c r="M60" s="133">
        <v>844316.6</v>
      </c>
      <c r="N60" s="133"/>
      <c r="O60" s="133">
        <v>-180000</v>
      </c>
      <c r="P60" s="133"/>
      <c r="Q60" s="133">
        <v>1164316.6</v>
      </c>
      <c r="R60" s="133" t="s">
        <v>9881</v>
      </c>
    </row>
    <row r="61" s="148" customFormat="1" customHeight="1" spans="1:18">
      <c r="A61" s="106">
        <v>56</v>
      </c>
      <c r="B61" s="106" t="s">
        <v>10350</v>
      </c>
      <c r="C61" s="155" t="s">
        <v>7218</v>
      </c>
      <c r="D61" s="156" t="s">
        <v>10349</v>
      </c>
      <c r="E61" s="133">
        <v>508000</v>
      </c>
      <c r="F61" s="133"/>
      <c r="G61" s="133"/>
      <c r="H61" s="133"/>
      <c r="I61" s="133"/>
      <c r="J61" s="133"/>
      <c r="K61" s="133"/>
      <c r="L61" s="133">
        <v>200000</v>
      </c>
      <c r="M61" s="133">
        <v>337726.66</v>
      </c>
      <c r="N61" s="133"/>
      <c r="O61" s="133"/>
      <c r="P61" s="133">
        <v>-4000</v>
      </c>
      <c r="Q61" s="133">
        <v>533726.66</v>
      </c>
      <c r="R61" s="133" t="s">
        <v>9881</v>
      </c>
    </row>
    <row r="62" s="148" customFormat="1" ht="26" customHeight="1" spans="1:18">
      <c r="A62" s="106">
        <v>57</v>
      </c>
      <c r="B62" s="106" t="s">
        <v>10351</v>
      </c>
      <c r="C62" s="155" t="s">
        <v>10352</v>
      </c>
      <c r="D62" s="166" t="s">
        <v>10353</v>
      </c>
      <c r="E62" s="133">
        <v>1568000</v>
      </c>
      <c r="F62" s="133"/>
      <c r="G62" s="133"/>
      <c r="H62" s="133"/>
      <c r="I62" s="133"/>
      <c r="J62" s="133"/>
      <c r="K62" s="133"/>
      <c r="L62" s="133">
        <v>500000</v>
      </c>
      <c r="M62" s="133">
        <v>687983.31</v>
      </c>
      <c r="N62" s="133"/>
      <c r="O62" s="133"/>
      <c r="P62" s="133"/>
      <c r="Q62" s="133">
        <v>1187983.31</v>
      </c>
      <c r="R62" s="133" t="s">
        <v>9881</v>
      </c>
    </row>
    <row r="63" s="148" customFormat="1" customHeight="1" spans="1:18">
      <c r="A63" s="106">
        <v>58</v>
      </c>
      <c r="B63" s="106" t="s">
        <v>10354</v>
      </c>
      <c r="C63" s="155" t="s">
        <v>10355</v>
      </c>
      <c r="D63" s="156" t="s">
        <v>10356</v>
      </c>
      <c r="E63" s="133">
        <v>2822400</v>
      </c>
      <c r="F63" s="133"/>
      <c r="G63" s="133"/>
      <c r="H63" s="133"/>
      <c r="I63" s="133"/>
      <c r="J63" s="133"/>
      <c r="K63" s="133"/>
      <c r="L63" s="133">
        <v>900000</v>
      </c>
      <c r="M63" s="133">
        <v>1238370</v>
      </c>
      <c r="N63" s="133"/>
      <c r="O63" s="133"/>
      <c r="P63" s="133"/>
      <c r="Q63" s="133">
        <v>2138370</v>
      </c>
      <c r="R63" s="133" t="s">
        <v>9881</v>
      </c>
    </row>
    <row r="64" s="161" customFormat="1" customHeight="1" spans="1:18">
      <c r="A64" s="106">
        <v>59</v>
      </c>
      <c r="B64" s="106" t="s">
        <v>10357</v>
      </c>
      <c r="C64" s="155" t="s">
        <v>10358</v>
      </c>
      <c r="D64" s="156" t="s">
        <v>10359</v>
      </c>
      <c r="E64" s="133">
        <v>1236095.37</v>
      </c>
      <c r="F64" s="133"/>
      <c r="G64" s="133"/>
      <c r="H64" s="133"/>
      <c r="I64" s="133"/>
      <c r="J64" s="133"/>
      <c r="K64" s="133"/>
      <c r="L64" s="133">
        <v>400000</v>
      </c>
      <c r="M64" s="133">
        <v>631999.69</v>
      </c>
      <c r="N64" s="133"/>
      <c r="O64" s="133">
        <v>-200000</v>
      </c>
      <c r="P64" s="133"/>
      <c r="Q64" s="133">
        <v>831999.69</v>
      </c>
      <c r="R64" s="133" t="s">
        <v>9881</v>
      </c>
    </row>
    <row r="65" s="148" customFormat="1" customHeight="1" spans="1:18">
      <c r="A65" s="106">
        <v>60</v>
      </c>
      <c r="B65" s="106" t="s">
        <v>10360</v>
      </c>
      <c r="C65" s="155" t="s">
        <v>10361</v>
      </c>
      <c r="D65" s="156" t="s">
        <v>10362</v>
      </c>
      <c r="E65" s="133">
        <v>1128666</v>
      </c>
      <c r="F65" s="133"/>
      <c r="G65" s="133"/>
      <c r="H65" s="133"/>
      <c r="I65" s="133"/>
      <c r="J65" s="133"/>
      <c r="K65" s="133"/>
      <c r="L65" s="133">
        <v>500000</v>
      </c>
      <c r="M65" s="133">
        <v>687983.31</v>
      </c>
      <c r="N65" s="133"/>
      <c r="O65" s="133"/>
      <c r="P65" s="133"/>
      <c r="Q65" s="133">
        <v>1187983.31</v>
      </c>
      <c r="R65" s="133" t="s">
        <v>9881</v>
      </c>
    </row>
    <row r="66" s="148" customFormat="1" customHeight="1" spans="1:18">
      <c r="A66" s="106">
        <v>61</v>
      </c>
      <c r="B66" s="106" t="s">
        <v>10363</v>
      </c>
      <c r="C66" s="155" t="s">
        <v>10364</v>
      </c>
      <c r="D66" s="156" t="s">
        <v>10365</v>
      </c>
      <c r="E66" s="133">
        <v>761755</v>
      </c>
      <c r="F66" s="133"/>
      <c r="G66" s="133"/>
      <c r="H66" s="133"/>
      <c r="I66" s="133"/>
      <c r="J66" s="133"/>
      <c r="K66" s="133"/>
      <c r="L66" s="133">
        <v>300000</v>
      </c>
      <c r="M66" s="133">
        <v>506790</v>
      </c>
      <c r="N66" s="133"/>
      <c r="O66" s="133"/>
      <c r="P66" s="133">
        <v>-88675</v>
      </c>
      <c r="Q66" s="133">
        <v>718115</v>
      </c>
      <c r="R66" s="133" t="s">
        <v>9881</v>
      </c>
    </row>
    <row r="67" s="148" customFormat="1" customHeight="1" spans="1:18">
      <c r="A67" s="106">
        <v>62</v>
      </c>
      <c r="B67" s="106" t="s">
        <v>10366</v>
      </c>
      <c r="C67" s="155" t="s">
        <v>10367</v>
      </c>
      <c r="D67" s="156" t="s">
        <v>10368</v>
      </c>
      <c r="E67" s="133">
        <v>780766</v>
      </c>
      <c r="F67" s="133"/>
      <c r="G67" s="133"/>
      <c r="H67" s="133"/>
      <c r="I67" s="133"/>
      <c r="J67" s="133"/>
      <c r="K67" s="133"/>
      <c r="L67" s="133">
        <v>350000</v>
      </c>
      <c r="M67" s="133">
        <v>430766</v>
      </c>
      <c r="N67" s="133"/>
      <c r="O67" s="133"/>
      <c r="P67" s="133"/>
      <c r="Q67" s="133">
        <v>780766</v>
      </c>
      <c r="R67" s="133" t="s">
        <v>9881</v>
      </c>
    </row>
    <row r="68" s="148" customFormat="1" customHeight="1" spans="1:18">
      <c r="A68" s="106">
        <v>63</v>
      </c>
      <c r="B68" s="106" t="s">
        <v>10369</v>
      </c>
      <c r="C68" s="155" t="s">
        <v>10370</v>
      </c>
      <c r="D68" s="156" t="s">
        <v>10371</v>
      </c>
      <c r="E68" s="133">
        <v>1841507</v>
      </c>
      <c r="F68" s="133"/>
      <c r="G68" s="133"/>
      <c r="H68" s="133"/>
      <c r="I68" s="133"/>
      <c r="J68" s="133"/>
      <c r="K68" s="133"/>
      <c r="L68" s="133">
        <v>650000</v>
      </c>
      <c r="M68" s="133">
        <v>894378.33</v>
      </c>
      <c r="N68" s="133"/>
      <c r="O68" s="133"/>
      <c r="P68" s="133"/>
      <c r="Q68" s="133">
        <v>1544378.33</v>
      </c>
      <c r="R68" s="133" t="s">
        <v>9881</v>
      </c>
    </row>
    <row r="69" s="148" customFormat="1" customHeight="1" spans="1:18">
      <c r="A69" s="106">
        <v>64</v>
      </c>
      <c r="B69" s="106" t="s">
        <v>10372</v>
      </c>
      <c r="C69" s="155" t="s">
        <v>10373</v>
      </c>
      <c r="D69" s="156" t="s">
        <v>10374</v>
      </c>
      <c r="E69" s="133">
        <v>940800</v>
      </c>
      <c r="F69" s="133"/>
      <c r="G69" s="133"/>
      <c r="H69" s="133"/>
      <c r="I69" s="133"/>
      <c r="J69" s="133"/>
      <c r="K69" s="133"/>
      <c r="L69" s="133">
        <v>300000</v>
      </c>
      <c r="M69" s="133">
        <v>412790.01</v>
      </c>
      <c r="N69" s="133"/>
      <c r="O69" s="133"/>
      <c r="P69" s="133"/>
      <c r="Q69" s="133">
        <v>712790.01</v>
      </c>
      <c r="R69" s="133" t="s">
        <v>9881</v>
      </c>
    </row>
    <row r="70" s="148" customFormat="1" customHeight="1" spans="1:18">
      <c r="A70" s="106">
        <v>65</v>
      </c>
      <c r="B70" s="106" t="s">
        <v>10375</v>
      </c>
      <c r="C70" s="155" t="s">
        <v>10376</v>
      </c>
      <c r="D70" s="156" t="s">
        <v>10377</v>
      </c>
      <c r="E70" s="133">
        <v>1416544</v>
      </c>
      <c r="F70" s="133"/>
      <c r="G70" s="133"/>
      <c r="H70" s="133"/>
      <c r="I70" s="133"/>
      <c r="J70" s="133"/>
      <c r="K70" s="133"/>
      <c r="L70" s="133">
        <v>500000</v>
      </c>
      <c r="M70" s="133">
        <v>687983.31</v>
      </c>
      <c r="N70" s="133"/>
      <c r="O70" s="133"/>
      <c r="P70" s="133"/>
      <c r="Q70" s="133">
        <v>1187983.31</v>
      </c>
      <c r="R70" s="133" t="s">
        <v>9881</v>
      </c>
    </row>
    <row r="71" s="148" customFormat="1" customHeight="1" spans="1:18">
      <c r="A71" s="106">
        <v>66</v>
      </c>
      <c r="B71" s="106" t="s">
        <v>10378</v>
      </c>
      <c r="C71" s="155" t="s">
        <v>10379</v>
      </c>
      <c r="D71" s="156" t="s">
        <v>10380</v>
      </c>
      <c r="E71" s="133">
        <v>1584000</v>
      </c>
      <c r="F71" s="133"/>
      <c r="G71" s="133"/>
      <c r="H71" s="133"/>
      <c r="I71" s="133"/>
      <c r="J71" s="133"/>
      <c r="K71" s="133"/>
      <c r="L71" s="133">
        <v>500000</v>
      </c>
      <c r="M71" s="133">
        <v>697983.31</v>
      </c>
      <c r="N71" s="133"/>
      <c r="O71" s="133"/>
      <c r="P71" s="133"/>
      <c r="Q71" s="133">
        <v>1197983.31</v>
      </c>
      <c r="R71" s="133" t="s">
        <v>9881</v>
      </c>
    </row>
    <row r="72" s="148" customFormat="1" customHeight="1" spans="1:18">
      <c r="A72" s="106">
        <v>67</v>
      </c>
      <c r="B72" s="106" t="s">
        <v>10381</v>
      </c>
      <c r="C72" s="155" t="s">
        <v>10382</v>
      </c>
      <c r="D72" s="156" t="s">
        <v>10383</v>
      </c>
      <c r="E72" s="133">
        <v>4076800</v>
      </c>
      <c r="F72" s="133"/>
      <c r="G72" s="133"/>
      <c r="H72" s="133"/>
      <c r="I72" s="133"/>
      <c r="J72" s="133"/>
      <c r="K72" s="133"/>
      <c r="L72" s="133">
        <v>1300000</v>
      </c>
      <c r="M72" s="133">
        <v>1788756.69</v>
      </c>
      <c r="N72" s="133"/>
      <c r="O72" s="133"/>
      <c r="P72" s="133"/>
      <c r="Q72" s="133">
        <v>3088756.69</v>
      </c>
      <c r="R72" s="133" t="s">
        <v>9881</v>
      </c>
    </row>
    <row r="73" s="148" customFormat="1" customHeight="1" spans="1:18">
      <c r="A73" s="106">
        <v>68</v>
      </c>
      <c r="B73" s="106" t="s">
        <v>10384</v>
      </c>
      <c r="C73" s="155" t="s">
        <v>10385</v>
      </c>
      <c r="D73" s="156" t="s">
        <v>10386</v>
      </c>
      <c r="E73" s="133">
        <v>3452300</v>
      </c>
      <c r="F73" s="133"/>
      <c r="G73" s="133"/>
      <c r="H73" s="133"/>
      <c r="I73" s="133"/>
      <c r="J73" s="133"/>
      <c r="K73" s="133"/>
      <c r="L73" s="133">
        <v>1100000</v>
      </c>
      <c r="M73" s="133">
        <v>1513563.33</v>
      </c>
      <c r="N73" s="133"/>
      <c r="O73" s="133"/>
      <c r="P73" s="133"/>
      <c r="Q73" s="133">
        <v>2613563.33</v>
      </c>
      <c r="R73" s="133" t="s">
        <v>9881</v>
      </c>
    </row>
    <row r="74" s="148" customFormat="1" customHeight="1" spans="1:18">
      <c r="A74" s="106">
        <v>69</v>
      </c>
      <c r="B74" s="106" t="s">
        <v>10387</v>
      </c>
      <c r="C74" s="155" t="s">
        <v>10388</v>
      </c>
      <c r="D74" s="156" t="s">
        <v>10389</v>
      </c>
      <c r="E74" s="133">
        <v>830256</v>
      </c>
      <c r="F74" s="133"/>
      <c r="G74" s="133"/>
      <c r="H74" s="133"/>
      <c r="I74" s="133"/>
      <c r="J74" s="133"/>
      <c r="K74" s="133"/>
      <c r="L74" s="133">
        <v>300000</v>
      </c>
      <c r="M74" s="133">
        <v>412790.01</v>
      </c>
      <c r="N74" s="133"/>
      <c r="O74" s="133"/>
      <c r="P74" s="133"/>
      <c r="Q74" s="133">
        <v>712790.01</v>
      </c>
      <c r="R74" s="133" t="s">
        <v>9881</v>
      </c>
    </row>
    <row r="75" s="148" customFormat="1" customHeight="1" spans="1:18">
      <c r="A75" s="106">
        <v>70</v>
      </c>
      <c r="B75" s="106" t="s">
        <v>10390</v>
      </c>
      <c r="C75" s="155" t="s">
        <v>10391</v>
      </c>
      <c r="D75" s="156" t="s">
        <v>10392</v>
      </c>
      <c r="E75" s="133">
        <v>830256</v>
      </c>
      <c r="F75" s="133"/>
      <c r="G75" s="133"/>
      <c r="H75" s="133"/>
      <c r="I75" s="133"/>
      <c r="J75" s="133"/>
      <c r="K75" s="133"/>
      <c r="L75" s="133">
        <v>300000</v>
      </c>
      <c r="M75" s="133">
        <v>412790.01</v>
      </c>
      <c r="N75" s="133"/>
      <c r="O75" s="133"/>
      <c r="P75" s="133"/>
      <c r="Q75" s="133">
        <v>712790.01</v>
      </c>
      <c r="R75" s="133" t="s">
        <v>9881</v>
      </c>
    </row>
    <row r="76" s="148" customFormat="1" customHeight="1" spans="1:18">
      <c r="A76" s="106">
        <v>71</v>
      </c>
      <c r="B76" s="106" t="s">
        <v>10393</v>
      </c>
      <c r="C76" s="155" t="s">
        <v>10394</v>
      </c>
      <c r="D76" s="156" t="s">
        <v>10395</v>
      </c>
      <c r="E76" s="133">
        <v>46136021</v>
      </c>
      <c r="F76" s="133"/>
      <c r="G76" s="133"/>
      <c r="H76" s="133"/>
      <c r="I76" s="133"/>
      <c r="J76" s="133"/>
      <c r="K76" s="133"/>
      <c r="L76" s="133">
        <v>12500000</v>
      </c>
      <c r="M76" s="133">
        <v>21631035.33</v>
      </c>
      <c r="N76" s="133"/>
      <c r="O76" s="133"/>
      <c r="P76" s="133"/>
      <c r="Q76" s="133">
        <v>34131035.33</v>
      </c>
      <c r="R76" s="133" t="s">
        <v>9881</v>
      </c>
    </row>
    <row r="77" s="148" customFormat="1" customHeight="1" spans="1:18">
      <c r="A77" s="106">
        <v>72</v>
      </c>
      <c r="B77" s="106" t="s">
        <v>10396</v>
      </c>
      <c r="C77" s="155" t="s">
        <v>10397</v>
      </c>
      <c r="D77" s="156" t="s">
        <v>10398</v>
      </c>
      <c r="E77" s="133">
        <v>32739168</v>
      </c>
      <c r="F77" s="133"/>
      <c r="G77" s="133"/>
      <c r="H77" s="133"/>
      <c r="I77" s="133"/>
      <c r="J77" s="133"/>
      <c r="K77" s="133"/>
      <c r="L77" s="133">
        <v>4120000</v>
      </c>
      <c r="M77" s="133">
        <v>5751382.67</v>
      </c>
      <c r="N77" s="133"/>
      <c r="O77" s="133"/>
      <c r="P77" s="133"/>
      <c r="Q77" s="133">
        <v>9871382.67</v>
      </c>
      <c r="R77" s="133" t="s">
        <v>9881</v>
      </c>
    </row>
    <row r="78" s="148" customFormat="1" customHeight="1" spans="1:18">
      <c r="A78" s="106">
        <v>73</v>
      </c>
      <c r="B78" s="106" t="s">
        <v>10399</v>
      </c>
      <c r="C78" s="155" t="s">
        <v>10400</v>
      </c>
      <c r="D78" s="156" t="s">
        <v>10401</v>
      </c>
      <c r="E78" s="133">
        <v>10035200</v>
      </c>
      <c r="F78" s="133"/>
      <c r="G78" s="133"/>
      <c r="H78" s="133"/>
      <c r="I78" s="133"/>
      <c r="J78" s="133"/>
      <c r="K78" s="133"/>
      <c r="L78" s="133">
        <v>3200000</v>
      </c>
      <c r="M78" s="133">
        <v>4403093.33</v>
      </c>
      <c r="N78" s="133"/>
      <c r="O78" s="133"/>
      <c r="P78" s="133"/>
      <c r="Q78" s="133">
        <v>7603093.33</v>
      </c>
      <c r="R78" s="133" t="s">
        <v>9881</v>
      </c>
    </row>
    <row r="79" s="148" customFormat="1" customHeight="1" spans="1:18">
      <c r="A79" s="106">
        <v>74</v>
      </c>
      <c r="B79" s="106" t="s">
        <v>10402</v>
      </c>
      <c r="C79" s="155" t="s">
        <v>10403</v>
      </c>
      <c r="D79" s="156" t="s">
        <v>10404</v>
      </c>
      <c r="E79" s="133">
        <v>1801800</v>
      </c>
      <c r="F79" s="133"/>
      <c r="G79" s="133"/>
      <c r="H79" s="133"/>
      <c r="I79" s="133"/>
      <c r="J79" s="133"/>
      <c r="K79" s="133"/>
      <c r="L79" s="133">
        <v>700000</v>
      </c>
      <c r="M79" s="133">
        <v>1137243.33</v>
      </c>
      <c r="N79" s="133"/>
      <c r="O79" s="133"/>
      <c r="P79" s="133"/>
      <c r="Q79" s="133">
        <v>1837243.33</v>
      </c>
      <c r="R79" s="133" t="s">
        <v>9881</v>
      </c>
    </row>
    <row r="80" s="148" customFormat="1" customHeight="1" spans="1:18">
      <c r="A80" s="106">
        <v>75</v>
      </c>
      <c r="B80" s="106" t="s">
        <v>10405</v>
      </c>
      <c r="C80" s="155" t="s">
        <v>10406</v>
      </c>
      <c r="D80" s="156" t="s">
        <v>10407</v>
      </c>
      <c r="E80" s="133">
        <v>4336000</v>
      </c>
      <c r="F80" s="133"/>
      <c r="G80" s="133"/>
      <c r="H80" s="133"/>
      <c r="I80" s="133"/>
      <c r="J80" s="133"/>
      <c r="K80" s="133"/>
      <c r="L80" s="133">
        <v>900000</v>
      </c>
      <c r="M80" s="133">
        <v>1238370</v>
      </c>
      <c r="N80" s="133"/>
      <c r="O80" s="133"/>
      <c r="P80" s="133"/>
      <c r="Q80" s="133">
        <v>2138370</v>
      </c>
      <c r="R80" s="133" t="s">
        <v>9881</v>
      </c>
    </row>
    <row r="81" s="148" customFormat="1" customHeight="1" spans="1:18">
      <c r="A81" s="106">
        <v>76</v>
      </c>
      <c r="B81" s="106" t="s">
        <v>10408</v>
      </c>
      <c r="C81" s="155" t="s">
        <v>10409</v>
      </c>
      <c r="D81" s="156" t="s">
        <v>10410</v>
      </c>
      <c r="E81" s="133">
        <v>70785000</v>
      </c>
      <c r="F81" s="133"/>
      <c r="G81" s="133"/>
      <c r="H81" s="133"/>
      <c r="I81" s="133"/>
      <c r="J81" s="133"/>
      <c r="K81" s="133">
        <v>0</v>
      </c>
      <c r="L81" s="133"/>
      <c r="M81" s="133"/>
      <c r="N81" s="133"/>
      <c r="O81" s="133"/>
      <c r="P81" s="133"/>
      <c r="Q81" s="133"/>
      <c r="R81" s="133" t="s">
        <v>9808</v>
      </c>
    </row>
    <row r="82" s="148" customFormat="1" customHeight="1" spans="1:18">
      <c r="A82" s="106">
        <v>77</v>
      </c>
      <c r="B82" s="106" t="s">
        <v>10411</v>
      </c>
      <c r="C82" s="155" t="s">
        <v>10412</v>
      </c>
      <c r="D82" s="156" t="s">
        <v>10413</v>
      </c>
      <c r="E82" s="133">
        <v>2063880</v>
      </c>
      <c r="F82" s="133"/>
      <c r="G82" s="133"/>
      <c r="H82" s="133"/>
      <c r="I82" s="133"/>
      <c r="J82" s="133"/>
      <c r="K82" s="133"/>
      <c r="L82" s="133">
        <v>750000</v>
      </c>
      <c r="M82" s="133">
        <v>1031475</v>
      </c>
      <c r="N82" s="133"/>
      <c r="O82" s="133"/>
      <c r="P82" s="133"/>
      <c r="Q82" s="133">
        <v>1781475</v>
      </c>
      <c r="R82" s="133" t="s">
        <v>9881</v>
      </c>
    </row>
    <row r="83" s="148" customFormat="1" customHeight="1" spans="1:18">
      <c r="A83" s="106">
        <v>78</v>
      </c>
      <c r="B83" s="106" t="s">
        <v>10414</v>
      </c>
      <c r="C83" s="155" t="s">
        <v>562</v>
      </c>
      <c r="D83" s="156" t="s">
        <v>10415</v>
      </c>
      <c r="E83" s="133">
        <v>3136000</v>
      </c>
      <c r="F83" s="133"/>
      <c r="G83" s="133"/>
      <c r="H83" s="133"/>
      <c r="I83" s="133"/>
      <c r="J83" s="133"/>
      <c r="K83" s="133"/>
      <c r="L83" s="133">
        <v>950000</v>
      </c>
      <c r="M83" s="133">
        <v>1363632.76</v>
      </c>
      <c r="N83" s="133"/>
      <c r="O83" s="133"/>
      <c r="P83" s="133"/>
      <c r="Q83" s="133">
        <v>2313632.76</v>
      </c>
      <c r="R83" s="133" t="s">
        <v>9881</v>
      </c>
    </row>
    <row r="84" s="148" customFormat="1" customHeight="1" spans="1:18">
      <c r="A84" s="106">
        <v>79</v>
      </c>
      <c r="B84" s="106" t="s">
        <v>10416</v>
      </c>
      <c r="C84" s="155" t="s">
        <v>10417</v>
      </c>
      <c r="D84" s="156" t="s">
        <v>10418</v>
      </c>
      <c r="E84" s="133">
        <v>2220000</v>
      </c>
      <c r="F84" s="133"/>
      <c r="G84" s="133"/>
      <c r="H84" s="133"/>
      <c r="I84" s="133"/>
      <c r="J84" s="133"/>
      <c r="K84" s="133"/>
      <c r="L84" s="133">
        <v>130000</v>
      </c>
      <c r="M84" s="133">
        <v>581029</v>
      </c>
      <c r="N84" s="133"/>
      <c r="O84" s="133"/>
      <c r="P84" s="133"/>
      <c r="Q84" s="133">
        <v>711029</v>
      </c>
      <c r="R84" s="133" t="s">
        <v>9881</v>
      </c>
    </row>
    <row r="85" s="148" customFormat="1" customHeight="1" spans="1:18">
      <c r="A85" s="106">
        <v>80</v>
      </c>
      <c r="B85" s="106" t="s">
        <v>10419</v>
      </c>
      <c r="C85" s="155" t="s">
        <v>10420</v>
      </c>
      <c r="D85" s="156" t="s">
        <v>10421</v>
      </c>
      <c r="E85" s="133">
        <v>3016800</v>
      </c>
      <c r="F85" s="133"/>
      <c r="G85" s="133"/>
      <c r="H85" s="133"/>
      <c r="I85" s="133"/>
      <c r="J85" s="133"/>
      <c r="K85" s="133"/>
      <c r="L85" s="133">
        <v>1200000</v>
      </c>
      <c r="M85" s="133">
        <v>1651160.01</v>
      </c>
      <c r="N85" s="133"/>
      <c r="O85" s="133"/>
      <c r="P85" s="133"/>
      <c r="Q85" s="133">
        <v>2851160.01</v>
      </c>
      <c r="R85" s="133" t="s">
        <v>9881</v>
      </c>
    </row>
    <row r="86" s="148" customFormat="1" customHeight="1" spans="1:18">
      <c r="A86" s="106">
        <v>81</v>
      </c>
      <c r="B86" s="106" t="s">
        <v>10422</v>
      </c>
      <c r="C86" s="155" t="s">
        <v>10420</v>
      </c>
      <c r="D86" s="156" t="s">
        <v>10421</v>
      </c>
      <c r="E86" s="133">
        <v>2574000</v>
      </c>
      <c r="F86" s="133"/>
      <c r="G86" s="133"/>
      <c r="H86" s="133"/>
      <c r="I86" s="133"/>
      <c r="J86" s="133"/>
      <c r="K86" s="133"/>
      <c r="L86" s="133">
        <v>1000000</v>
      </c>
      <c r="M86" s="133">
        <v>1375966.66</v>
      </c>
      <c r="N86" s="133"/>
      <c r="O86" s="133"/>
      <c r="P86" s="133"/>
      <c r="Q86" s="133">
        <v>2375966.66</v>
      </c>
      <c r="R86" s="133" t="s">
        <v>9881</v>
      </c>
    </row>
    <row r="87" s="148" customFormat="1" customHeight="1" spans="1:18">
      <c r="A87" s="106">
        <v>82</v>
      </c>
      <c r="B87" s="106" t="s">
        <v>10423</v>
      </c>
      <c r="C87" s="155" t="s">
        <v>4847</v>
      </c>
      <c r="D87" s="156" t="s">
        <v>10424</v>
      </c>
      <c r="E87" s="133">
        <v>1280000</v>
      </c>
      <c r="F87" s="133"/>
      <c r="G87" s="133"/>
      <c r="H87" s="133"/>
      <c r="I87" s="133"/>
      <c r="J87" s="133"/>
      <c r="K87" s="133"/>
      <c r="L87" s="133">
        <v>500000</v>
      </c>
      <c r="M87" s="133">
        <v>687983.31</v>
      </c>
      <c r="N87" s="133"/>
      <c r="O87" s="133"/>
      <c r="P87" s="133"/>
      <c r="Q87" s="133">
        <v>1187983.31</v>
      </c>
      <c r="R87" s="133" t="s">
        <v>9881</v>
      </c>
    </row>
    <row r="88" s="148" customFormat="1" customHeight="1" spans="1:18">
      <c r="A88" s="106">
        <v>83</v>
      </c>
      <c r="B88" s="106" t="s">
        <v>10425</v>
      </c>
      <c r="C88" s="155" t="s">
        <v>10426</v>
      </c>
      <c r="D88" s="156" t="s">
        <v>10427</v>
      </c>
      <c r="E88" s="133">
        <v>1280000</v>
      </c>
      <c r="F88" s="133"/>
      <c r="G88" s="133"/>
      <c r="H88" s="133"/>
      <c r="I88" s="133"/>
      <c r="J88" s="133"/>
      <c r="K88" s="133"/>
      <c r="L88" s="133">
        <v>500000</v>
      </c>
      <c r="M88" s="133">
        <v>687983.31</v>
      </c>
      <c r="N88" s="133"/>
      <c r="O88" s="133"/>
      <c r="P88" s="133"/>
      <c r="Q88" s="133">
        <v>1187983.31</v>
      </c>
      <c r="R88" s="133" t="s">
        <v>9881</v>
      </c>
    </row>
    <row r="89" s="148" customFormat="1" customHeight="1" spans="1:18">
      <c r="A89" s="106">
        <v>84</v>
      </c>
      <c r="B89" s="106" t="s">
        <v>10428</v>
      </c>
      <c r="C89" s="155" t="s">
        <v>10426</v>
      </c>
      <c r="D89" s="156" t="s">
        <v>10427</v>
      </c>
      <c r="E89" s="133">
        <v>1280000</v>
      </c>
      <c r="F89" s="133"/>
      <c r="G89" s="133"/>
      <c r="H89" s="133"/>
      <c r="I89" s="133"/>
      <c r="J89" s="133"/>
      <c r="K89" s="133"/>
      <c r="L89" s="133">
        <v>500000</v>
      </c>
      <c r="M89" s="133">
        <v>687983.31</v>
      </c>
      <c r="N89" s="133"/>
      <c r="O89" s="133"/>
      <c r="P89" s="133"/>
      <c r="Q89" s="133">
        <v>1187983.31</v>
      </c>
      <c r="R89" s="133" t="s">
        <v>9881</v>
      </c>
    </row>
    <row r="90" s="148" customFormat="1" customHeight="1" spans="1:18">
      <c r="A90" s="106">
        <v>85</v>
      </c>
      <c r="B90" s="106" t="s">
        <v>10429</v>
      </c>
      <c r="C90" s="155" t="s">
        <v>10430</v>
      </c>
      <c r="D90" s="156" t="s">
        <v>10431</v>
      </c>
      <c r="E90" s="133">
        <v>1256792</v>
      </c>
      <c r="F90" s="133"/>
      <c r="G90" s="133"/>
      <c r="H90" s="133"/>
      <c r="I90" s="133"/>
      <c r="J90" s="133"/>
      <c r="K90" s="133"/>
      <c r="L90" s="133">
        <v>400000</v>
      </c>
      <c r="M90" s="133">
        <v>550386.69</v>
      </c>
      <c r="N90" s="133"/>
      <c r="O90" s="133"/>
      <c r="P90" s="133"/>
      <c r="Q90" s="133">
        <v>950386.69</v>
      </c>
      <c r="R90" s="133" t="s">
        <v>9881</v>
      </c>
    </row>
    <row r="91" s="148" customFormat="1" customHeight="1" spans="1:18">
      <c r="A91" s="106">
        <v>86</v>
      </c>
      <c r="B91" s="106" t="s">
        <v>10432</v>
      </c>
      <c r="C91" s="155" t="s">
        <v>10433</v>
      </c>
      <c r="D91" s="156" t="s">
        <v>10434</v>
      </c>
      <c r="E91" s="133">
        <v>1256490</v>
      </c>
      <c r="F91" s="133"/>
      <c r="G91" s="133"/>
      <c r="H91" s="133"/>
      <c r="I91" s="133"/>
      <c r="J91" s="133"/>
      <c r="K91" s="133"/>
      <c r="L91" s="133">
        <v>400000</v>
      </c>
      <c r="M91" s="133">
        <v>550386.69</v>
      </c>
      <c r="N91" s="133"/>
      <c r="O91" s="133"/>
      <c r="P91" s="133"/>
      <c r="Q91" s="133">
        <v>950386.69</v>
      </c>
      <c r="R91" s="133" t="s">
        <v>9881</v>
      </c>
    </row>
    <row r="92" s="148" customFormat="1" customHeight="1" spans="1:18">
      <c r="A92" s="106">
        <v>87</v>
      </c>
      <c r="B92" s="106" t="s">
        <v>10435</v>
      </c>
      <c r="C92" s="155" t="s">
        <v>2100</v>
      </c>
      <c r="D92" s="156" t="s">
        <v>10436</v>
      </c>
      <c r="E92" s="133">
        <v>1570613</v>
      </c>
      <c r="F92" s="133"/>
      <c r="G92" s="133"/>
      <c r="H92" s="133"/>
      <c r="I92" s="133"/>
      <c r="J92" s="133"/>
      <c r="K92" s="133"/>
      <c r="L92" s="133">
        <v>500000</v>
      </c>
      <c r="M92" s="133">
        <v>687983.31</v>
      </c>
      <c r="N92" s="133"/>
      <c r="O92" s="133"/>
      <c r="P92" s="133"/>
      <c r="Q92" s="133">
        <v>1187983.31</v>
      </c>
      <c r="R92" s="133" t="s">
        <v>9881</v>
      </c>
    </row>
    <row r="93" s="148" customFormat="1" ht="29" customHeight="1" spans="1:18">
      <c r="A93" s="106">
        <v>88</v>
      </c>
      <c r="B93" s="106" t="s">
        <v>10437</v>
      </c>
      <c r="C93" s="155" t="s">
        <v>10438</v>
      </c>
      <c r="D93" s="156" t="s">
        <v>10079</v>
      </c>
      <c r="E93" s="133">
        <v>175042700</v>
      </c>
      <c r="F93" s="133">
        <v>82000000</v>
      </c>
      <c r="G93" s="133">
        <v>93042666.7</v>
      </c>
      <c r="H93" s="133">
        <v>0</v>
      </c>
      <c r="I93" s="133"/>
      <c r="J93" s="133">
        <v>0</v>
      </c>
      <c r="K93" s="133">
        <v>175042666.7</v>
      </c>
      <c r="L93" s="133"/>
      <c r="M93" s="133"/>
      <c r="N93" s="133"/>
      <c r="O93" s="133"/>
      <c r="P93" s="133"/>
      <c r="Q93" s="133"/>
      <c r="R93" s="133" t="s">
        <v>9759</v>
      </c>
    </row>
    <row r="94" s="148" customFormat="1" customHeight="1" spans="1:18">
      <c r="A94" s="106">
        <v>89</v>
      </c>
      <c r="B94" s="106" t="s">
        <v>10439</v>
      </c>
      <c r="C94" s="155" t="s">
        <v>10440</v>
      </c>
      <c r="D94" s="156" t="s">
        <v>10079</v>
      </c>
      <c r="E94" s="133">
        <v>106287229.87</v>
      </c>
      <c r="F94" s="133">
        <v>53750400</v>
      </c>
      <c r="G94" s="133">
        <v>39241948.6</v>
      </c>
      <c r="H94" s="133"/>
      <c r="I94" s="133">
        <v>222063</v>
      </c>
      <c r="J94" s="133">
        <v>100000</v>
      </c>
      <c r="K94" s="133">
        <v>93314411.6</v>
      </c>
      <c r="L94" s="133"/>
      <c r="M94" s="133"/>
      <c r="N94" s="133"/>
      <c r="O94" s="133"/>
      <c r="P94" s="133"/>
      <c r="Q94" s="133"/>
      <c r="R94" s="133" t="s">
        <v>9759</v>
      </c>
    </row>
    <row r="95" s="148" customFormat="1" customHeight="1" spans="1:18">
      <c r="A95" s="106">
        <v>90</v>
      </c>
      <c r="B95" s="106" t="s">
        <v>10441</v>
      </c>
      <c r="C95" s="155" t="s">
        <v>10442</v>
      </c>
      <c r="D95" s="156" t="s">
        <v>10079</v>
      </c>
      <c r="E95" s="133">
        <v>60852719</v>
      </c>
      <c r="F95" s="133">
        <v>60852719</v>
      </c>
      <c r="G95" s="133"/>
      <c r="H95" s="133"/>
      <c r="I95" s="133">
        <v>0</v>
      </c>
      <c r="J95" s="133"/>
      <c r="K95" s="133">
        <v>60852719</v>
      </c>
      <c r="L95" s="133"/>
      <c r="M95" s="133"/>
      <c r="N95" s="133"/>
      <c r="O95" s="133"/>
      <c r="P95" s="133"/>
      <c r="Q95" s="133"/>
      <c r="R95" s="133" t="s">
        <v>9759</v>
      </c>
    </row>
    <row r="96" s="148" customFormat="1" customHeight="1" spans="1:18">
      <c r="A96" s="106">
        <v>91</v>
      </c>
      <c r="B96" s="106" t="s">
        <v>10443</v>
      </c>
      <c r="C96" s="155" t="s">
        <v>10444</v>
      </c>
      <c r="D96" s="156" t="s">
        <v>10079</v>
      </c>
      <c r="E96" s="133">
        <v>260429300</v>
      </c>
      <c r="F96" s="133">
        <v>122000000</v>
      </c>
      <c r="G96" s="133">
        <v>138429300</v>
      </c>
      <c r="H96" s="133"/>
      <c r="I96" s="133"/>
      <c r="J96" s="133"/>
      <c r="K96" s="133">
        <v>260429300</v>
      </c>
      <c r="L96" s="133"/>
      <c r="M96" s="133"/>
      <c r="N96" s="133"/>
      <c r="O96" s="133"/>
      <c r="P96" s="133"/>
      <c r="Q96" s="133"/>
      <c r="R96" s="133" t="s">
        <v>9759</v>
      </c>
    </row>
    <row r="97" s="148" customFormat="1" customHeight="1" spans="1:18">
      <c r="A97" s="106">
        <v>92</v>
      </c>
      <c r="B97" s="106" t="s">
        <v>10445</v>
      </c>
      <c r="C97" s="155" t="s">
        <v>10446</v>
      </c>
      <c r="D97" s="156" t="s">
        <v>10447</v>
      </c>
      <c r="E97" s="133">
        <v>32109341.33</v>
      </c>
      <c r="F97" s="133">
        <v>14000000</v>
      </c>
      <c r="G97" s="133">
        <v>17629333.33</v>
      </c>
      <c r="H97" s="133"/>
      <c r="I97" s="133">
        <v>0</v>
      </c>
      <c r="J97" s="133"/>
      <c r="K97" s="133">
        <v>31629333.33</v>
      </c>
      <c r="L97" s="133"/>
      <c r="M97" s="133"/>
      <c r="N97" s="133"/>
      <c r="O97" s="133"/>
      <c r="P97" s="133"/>
      <c r="Q97" s="133"/>
      <c r="R97" s="133" t="s">
        <v>9759</v>
      </c>
    </row>
    <row r="98" s="148" customFormat="1" customHeight="1" spans="1:18">
      <c r="A98" s="106">
        <v>93</v>
      </c>
      <c r="B98" s="106" t="s">
        <v>10448</v>
      </c>
      <c r="C98" s="155" t="s">
        <v>10449</v>
      </c>
      <c r="D98" s="156" t="s">
        <v>10450</v>
      </c>
      <c r="E98" s="133">
        <v>1600000</v>
      </c>
      <c r="F98" s="133"/>
      <c r="G98" s="133"/>
      <c r="H98" s="133"/>
      <c r="I98" s="133"/>
      <c r="J98" s="133"/>
      <c r="K98" s="133"/>
      <c r="L98" s="133">
        <v>500000</v>
      </c>
      <c r="M98" s="133">
        <v>707983.31</v>
      </c>
      <c r="N98" s="133"/>
      <c r="O98" s="133"/>
      <c r="P98" s="133"/>
      <c r="Q98" s="133">
        <v>1207983.31</v>
      </c>
      <c r="R98" s="133" t="s">
        <v>9881</v>
      </c>
    </row>
    <row r="99" s="148" customFormat="1" customHeight="1" spans="1:18">
      <c r="A99" s="106">
        <v>94</v>
      </c>
      <c r="B99" s="106" t="s">
        <v>10451</v>
      </c>
      <c r="C99" s="155" t="s">
        <v>10452</v>
      </c>
      <c r="D99" s="156" t="s">
        <v>10453</v>
      </c>
      <c r="E99" s="133">
        <v>5119276.8</v>
      </c>
      <c r="F99" s="133"/>
      <c r="G99" s="133"/>
      <c r="H99" s="133"/>
      <c r="I99" s="133"/>
      <c r="J99" s="133"/>
      <c r="K99" s="133"/>
      <c r="L99" s="133">
        <v>1500000</v>
      </c>
      <c r="M99" s="133">
        <v>2323497.99</v>
      </c>
      <c r="N99" s="133"/>
      <c r="O99" s="133"/>
      <c r="P99" s="133"/>
      <c r="Q99" s="133">
        <v>3823497.99</v>
      </c>
      <c r="R99" s="133" t="s">
        <v>9881</v>
      </c>
    </row>
    <row r="100" s="148" customFormat="1" customHeight="1" spans="1:18">
      <c r="A100" s="106">
        <v>95</v>
      </c>
      <c r="B100" s="106" t="s">
        <v>10454</v>
      </c>
      <c r="C100" s="155" t="s">
        <v>10455</v>
      </c>
      <c r="D100" s="156" t="s">
        <v>10456</v>
      </c>
      <c r="E100" s="133">
        <v>2500437</v>
      </c>
      <c r="F100" s="133"/>
      <c r="G100" s="133"/>
      <c r="H100" s="133"/>
      <c r="I100" s="133"/>
      <c r="J100" s="133"/>
      <c r="K100" s="133"/>
      <c r="L100" s="133">
        <v>800000</v>
      </c>
      <c r="M100" s="133">
        <v>1100773.34</v>
      </c>
      <c r="N100" s="133"/>
      <c r="O100" s="133"/>
      <c r="P100" s="133"/>
      <c r="Q100" s="133">
        <v>1900773.34</v>
      </c>
      <c r="R100" s="133" t="s">
        <v>9881</v>
      </c>
    </row>
    <row r="101" s="148" customFormat="1" customHeight="1" spans="1:18">
      <c r="A101" s="106">
        <v>96</v>
      </c>
      <c r="B101" s="106" t="s">
        <v>10457</v>
      </c>
      <c r="C101" s="155" t="s">
        <v>10458</v>
      </c>
      <c r="D101" s="156" t="s">
        <v>10459</v>
      </c>
      <c r="E101" s="133">
        <v>6899200</v>
      </c>
      <c r="F101" s="133"/>
      <c r="G101" s="133"/>
      <c r="H101" s="133"/>
      <c r="I101" s="133"/>
      <c r="J101" s="133"/>
      <c r="K101" s="133"/>
      <c r="L101" s="133">
        <v>2200000</v>
      </c>
      <c r="M101" s="133">
        <v>3027126.69</v>
      </c>
      <c r="N101" s="133"/>
      <c r="O101" s="133"/>
      <c r="P101" s="133"/>
      <c r="Q101" s="133">
        <v>5227126.69</v>
      </c>
      <c r="R101" s="133" t="s">
        <v>9881</v>
      </c>
    </row>
    <row r="102" s="148" customFormat="1" customHeight="1" spans="1:18">
      <c r="A102" s="106">
        <v>97</v>
      </c>
      <c r="B102" s="106" t="s">
        <v>10460</v>
      </c>
      <c r="C102" s="155" t="s">
        <v>9965</v>
      </c>
      <c r="D102" s="156" t="s">
        <v>9966</v>
      </c>
      <c r="E102" s="133">
        <v>835500</v>
      </c>
      <c r="F102" s="133"/>
      <c r="G102" s="133"/>
      <c r="H102" s="133"/>
      <c r="I102" s="133"/>
      <c r="J102" s="133"/>
      <c r="K102" s="133">
        <v>0</v>
      </c>
      <c r="L102" s="133"/>
      <c r="M102" s="133"/>
      <c r="N102" s="133"/>
      <c r="O102" s="133"/>
      <c r="P102" s="133"/>
      <c r="Q102" s="133"/>
      <c r="R102" s="133" t="s">
        <v>9808</v>
      </c>
    </row>
    <row r="103" s="148" customFormat="1" customHeight="1" spans="1:18">
      <c r="A103" s="106">
        <v>98</v>
      </c>
      <c r="B103" s="106" t="s">
        <v>10461</v>
      </c>
      <c r="C103" s="155" t="s">
        <v>10462</v>
      </c>
      <c r="D103" s="156" t="s">
        <v>10463</v>
      </c>
      <c r="E103" s="133">
        <v>3449600</v>
      </c>
      <c r="F103" s="133"/>
      <c r="G103" s="133"/>
      <c r="H103" s="133"/>
      <c r="I103" s="133"/>
      <c r="J103" s="133"/>
      <c r="K103" s="133"/>
      <c r="L103" s="133">
        <v>1100000</v>
      </c>
      <c r="M103" s="133">
        <v>1513563.33</v>
      </c>
      <c r="N103" s="133"/>
      <c r="O103" s="133"/>
      <c r="P103" s="133"/>
      <c r="Q103" s="133">
        <v>2613563.33</v>
      </c>
      <c r="R103" s="133" t="s">
        <v>9881</v>
      </c>
    </row>
    <row r="104" s="148" customFormat="1" customHeight="1" spans="1:18">
      <c r="A104" s="106">
        <v>99</v>
      </c>
      <c r="B104" s="106" t="s">
        <v>10464</v>
      </c>
      <c r="C104" s="155" t="s">
        <v>10465</v>
      </c>
      <c r="D104" s="156" t="s">
        <v>10466</v>
      </c>
      <c r="E104" s="133">
        <v>3136000</v>
      </c>
      <c r="F104" s="133"/>
      <c r="G104" s="133"/>
      <c r="H104" s="133"/>
      <c r="I104" s="133"/>
      <c r="J104" s="133"/>
      <c r="K104" s="133"/>
      <c r="L104" s="133">
        <v>1000000</v>
      </c>
      <c r="M104" s="133">
        <v>1375966.66</v>
      </c>
      <c r="N104" s="133"/>
      <c r="O104" s="133"/>
      <c r="P104" s="133"/>
      <c r="Q104" s="133">
        <v>2375966.66</v>
      </c>
      <c r="R104" s="133" t="s">
        <v>9881</v>
      </c>
    </row>
    <row r="105" s="148" customFormat="1" customHeight="1" spans="1:18">
      <c r="A105" s="106">
        <v>100</v>
      </c>
      <c r="B105" s="106" t="s">
        <v>10467</v>
      </c>
      <c r="C105" s="155" t="s">
        <v>10468</v>
      </c>
      <c r="D105" s="156" t="s">
        <v>10469</v>
      </c>
      <c r="E105" s="133">
        <v>3763200</v>
      </c>
      <c r="F105" s="133"/>
      <c r="G105" s="133"/>
      <c r="H105" s="133"/>
      <c r="I105" s="133"/>
      <c r="J105" s="133"/>
      <c r="K105" s="133"/>
      <c r="L105" s="133">
        <v>1200000</v>
      </c>
      <c r="M105" s="133">
        <v>1643160.01</v>
      </c>
      <c r="N105" s="133"/>
      <c r="O105" s="133"/>
      <c r="P105" s="133"/>
      <c r="Q105" s="133">
        <v>2843160.01</v>
      </c>
      <c r="R105" s="133" t="s">
        <v>9881</v>
      </c>
    </row>
    <row r="106" s="148" customFormat="1" customHeight="1" spans="1:18">
      <c r="A106" s="106">
        <v>101</v>
      </c>
      <c r="B106" s="106" t="s">
        <v>10470</v>
      </c>
      <c r="C106" s="155" t="s">
        <v>4788</v>
      </c>
      <c r="D106" s="156" t="s">
        <v>9985</v>
      </c>
      <c r="E106" s="133">
        <v>166854.59</v>
      </c>
      <c r="F106" s="133"/>
      <c r="G106" s="133"/>
      <c r="H106" s="133"/>
      <c r="I106" s="133"/>
      <c r="J106" s="133"/>
      <c r="K106" s="133">
        <v>0</v>
      </c>
      <c r="L106" s="133"/>
      <c r="M106" s="133"/>
      <c r="N106" s="133"/>
      <c r="O106" s="133"/>
      <c r="P106" s="133"/>
      <c r="Q106" s="133"/>
      <c r="R106" s="133" t="s">
        <v>9808</v>
      </c>
    </row>
    <row r="107" s="148" customFormat="1" customHeight="1" spans="1:18">
      <c r="A107" s="106">
        <v>102</v>
      </c>
      <c r="B107" s="106" t="s">
        <v>10471</v>
      </c>
      <c r="C107" s="155" t="s">
        <v>10472</v>
      </c>
      <c r="D107" s="156" t="s">
        <v>10473</v>
      </c>
      <c r="E107" s="133">
        <v>26163565.1</v>
      </c>
      <c r="F107" s="133">
        <v>8200000</v>
      </c>
      <c r="G107" s="133">
        <v>16958545.1</v>
      </c>
      <c r="H107" s="133">
        <v>941360</v>
      </c>
      <c r="I107" s="133">
        <v>63660</v>
      </c>
      <c r="J107" s="133"/>
      <c r="K107" s="133">
        <v>26163565.1</v>
      </c>
      <c r="L107" s="133"/>
      <c r="M107" s="133"/>
      <c r="N107" s="133"/>
      <c r="O107" s="133"/>
      <c r="P107" s="133"/>
      <c r="Q107" s="133"/>
      <c r="R107" s="133" t="s">
        <v>9759</v>
      </c>
    </row>
    <row r="108" s="148" customFormat="1" customHeight="1" spans="1:18">
      <c r="A108" s="106">
        <v>103</v>
      </c>
      <c r="B108" s="106" t="s">
        <v>10474</v>
      </c>
      <c r="C108" s="155" t="s">
        <v>10472</v>
      </c>
      <c r="D108" s="156" t="s">
        <v>10473</v>
      </c>
      <c r="E108" s="133">
        <v>20596715</v>
      </c>
      <c r="F108" s="133">
        <v>10000000</v>
      </c>
      <c r="G108" s="133">
        <v>9359722</v>
      </c>
      <c r="H108" s="133">
        <v>1128750</v>
      </c>
      <c r="I108" s="133">
        <v>108243</v>
      </c>
      <c r="J108" s="133"/>
      <c r="K108" s="133">
        <v>20596715</v>
      </c>
      <c r="L108" s="133"/>
      <c r="M108" s="133"/>
      <c r="N108" s="133"/>
      <c r="O108" s="133"/>
      <c r="P108" s="133"/>
      <c r="Q108" s="133"/>
      <c r="R108" s="133" t="s">
        <v>9759</v>
      </c>
    </row>
    <row r="109" s="148" customFormat="1" customHeight="1" spans="1:18">
      <c r="A109" s="106">
        <v>104</v>
      </c>
      <c r="B109" s="106" t="s">
        <v>10475</v>
      </c>
      <c r="C109" s="155" t="s">
        <v>10472</v>
      </c>
      <c r="D109" s="156" t="s">
        <v>10473</v>
      </c>
      <c r="E109" s="133">
        <v>28437219</v>
      </c>
      <c r="F109" s="133">
        <v>13602692</v>
      </c>
      <c r="G109" s="133">
        <v>13360261</v>
      </c>
      <c r="H109" s="133">
        <v>1397336</v>
      </c>
      <c r="I109" s="133">
        <v>76930</v>
      </c>
      <c r="J109" s="133"/>
      <c r="K109" s="133">
        <v>28437219</v>
      </c>
      <c r="L109" s="133"/>
      <c r="M109" s="133"/>
      <c r="N109" s="133"/>
      <c r="O109" s="133"/>
      <c r="P109" s="133"/>
      <c r="Q109" s="133"/>
      <c r="R109" s="133" t="s">
        <v>9759</v>
      </c>
    </row>
    <row r="110" s="148" customFormat="1" customHeight="1" spans="1:18">
      <c r="A110" s="106">
        <v>105</v>
      </c>
      <c r="B110" s="106" t="s">
        <v>10476</v>
      </c>
      <c r="C110" s="155" t="s">
        <v>10477</v>
      </c>
      <c r="D110" s="156" t="s">
        <v>10478</v>
      </c>
      <c r="E110" s="133">
        <v>1534000</v>
      </c>
      <c r="F110" s="133"/>
      <c r="G110" s="133"/>
      <c r="H110" s="133"/>
      <c r="I110" s="133"/>
      <c r="J110" s="133"/>
      <c r="K110" s="133"/>
      <c r="L110" s="133">
        <v>500000</v>
      </c>
      <c r="M110" s="133">
        <v>889596.31</v>
      </c>
      <c r="N110" s="133"/>
      <c r="O110" s="133"/>
      <c r="P110" s="133"/>
      <c r="Q110" s="133">
        <v>1389596.31</v>
      </c>
      <c r="R110" s="133" t="s">
        <v>9881</v>
      </c>
    </row>
    <row r="111" s="148" customFormat="1" customHeight="1" spans="1:18">
      <c r="A111" s="106">
        <v>106</v>
      </c>
      <c r="B111" s="106" t="s">
        <v>10479</v>
      </c>
      <c r="C111" s="155" t="s">
        <v>10480</v>
      </c>
      <c r="D111" s="156" t="s">
        <v>10481</v>
      </c>
      <c r="E111" s="133">
        <v>1779941</v>
      </c>
      <c r="F111" s="133"/>
      <c r="G111" s="133"/>
      <c r="H111" s="133"/>
      <c r="I111" s="133"/>
      <c r="J111" s="133"/>
      <c r="K111" s="133"/>
      <c r="L111" s="133">
        <v>700000</v>
      </c>
      <c r="M111" s="133">
        <v>963176.66</v>
      </c>
      <c r="N111" s="133"/>
      <c r="O111" s="133"/>
      <c r="P111" s="133"/>
      <c r="Q111" s="133">
        <v>1663176.66</v>
      </c>
      <c r="R111" s="133" t="s">
        <v>9881</v>
      </c>
    </row>
    <row r="112" s="148" customFormat="1" customHeight="1" spans="1:18">
      <c r="A112" s="106">
        <v>107</v>
      </c>
      <c r="B112" s="106" t="s">
        <v>10482</v>
      </c>
      <c r="C112" s="155" t="s">
        <v>10483</v>
      </c>
      <c r="D112" s="156" t="s">
        <v>10484</v>
      </c>
      <c r="E112" s="133">
        <v>1568000</v>
      </c>
      <c r="F112" s="133"/>
      <c r="G112" s="133"/>
      <c r="H112" s="133"/>
      <c r="I112" s="133"/>
      <c r="J112" s="133"/>
      <c r="K112" s="133"/>
      <c r="L112" s="133">
        <v>500000</v>
      </c>
      <c r="M112" s="133">
        <v>687983.31</v>
      </c>
      <c r="N112" s="133"/>
      <c r="O112" s="133"/>
      <c r="P112" s="133"/>
      <c r="Q112" s="133">
        <v>1187983.31</v>
      </c>
      <c r="R112" s="133" t="s">
        <v>9881</v>
      </c>
    </row>
    <row r="113" s="148" customFormat="1" customHeight="1" spans="1:18">
      <c r="A113" s="106">
        <v>108</v>
      </c>
      <c r="B113" s="106" t="s">
        <v>10485</v>
      </c>
      <c r="C113" s="155" t="s">
        <v>10486</v>
      </c>
      <c r="D113" s="156" t="s">
        <v>10487</v>
      </c>
      <c r="E113" s="133">
        <v>2880259</v>
      </c>
      <c r="F113" s="133"/>
      <c r="G113" s="133"/>
      <c r="H113" s="133"/>
      <c r="I113" s="133"/>
      <c r="J113" s="133"/>
      <c r="K113" s="133"/>
      <c r="L113" s="133">
        <v>900000</v>
      </c>
      <c r="M113" s="133">
        <v>1238370</v>
      </c>
      <c r="N113" s="133"/>
      <c r="O113" s="133"/>
      <c r="P113" s="133"/>
      <c r="Q113" s="133">
        <v>2138370</v>
      </c>
      <c r="R113" s="133" t="s">
        <v>9881</v>
      </c>
    </row>
    <row r="114" s="148" customFormat="1" customHeight="1" spans="1:18">
      <c r="A114" s="106">
        <v>109</v>
      </c>
      <c r="B114" s="106" t="s">
        <v>10488</v>
      </c>
      <c r="C114" s="155" t="s">
        <v>10489</v>
      </c>
      <c r="D114" s="156" t="s">
        <v>10490</v>
      </c>
      <c r="E114" s="133">
        <v>2753146</v>
      </c>
      <c r="F114" s="133"/>
      <c r="G114" s="133"/>
      <c r="H114" s="133"/>
      <c r="I114" s="133"/>
      <c r="J114" s="133"/>
      <c r="K114" s="133"/>
      <c r="L114" s="133">
        <v>1000000</v>
      </c>
      <c r="M114" s="133">
        <v>1375966.66</v>
      </c>
      <c r="N114" s="133"/>
      <c r="O114" s="133"/>
      <c r="P114" s="133"/>
      <c r="Q114" s="133">
        <v>2375966.66</v>
      </c>
      <c r="R114" s="133" t="s">
        <v>9881</v>
      </c>
    </row>
    <row r="115" s="148" customFormat="1" customHeight="1" spans="1:18">
      <c r="A115" s="106">
        <v>110</v>
      </c>
      <c r="B115" s="106" t="s">
        <v>10491</v>
      </c>
      <c r="C115" s="155" t="s">
        <v>10492</v>
      </c>
      <c r="D115" s="156" t="s">
        <v>10493</v>
      </c>
      <c r="E115" s="133">
        <v>1416544</v>
      </c>
      <c r="F115" s="133"/>
      <c r="G115" s="133"/>
      <c r="H115" s="133"/>
      <c r="I115" s="133"/>
      <c r="J115" s="133"/>
      <c r="K115" s="133"/>
      <c r="L115" s="133">
        <v>500000</v>
      </c>
      <c r="M115" s="133">
        <v>687983.31</v>
      </c>
      <c r="N115" s="133"/>
      <c r="O115" s="133"/>
      <c r="P115" s="133"/>
      <c r="Q115" s="133">
        <v>1187983.31</v>
      </c>
      <c r="R115" s="133" t="s">
        <v>9881</v>
      </c>
    </row>
    <row r="116" s="148" customFormat="1" customHeight="1" spans="1:18">
      <c r="A116" s="106">
        <v>111</v>
      </c>
      <c r="B116" s="106" t="s">
        <v>10494</v>
      </c>
      <c r="C116" s="155" t="s">
        <v>10495</v>
      </c>
      <c r="D116" s="156" t="s">
        <v>10496</v>
      </c>
      <c r="E116" s="133">
        <v>5344000</v>
      </c>
      <c r="F116" s="133"/>
      <c r="G116" s="133"/>
      <c r="H116" s="133"/>
      <c r="I116" s="133"/>
      <c r="J116" s="133"/>
      <c r="K116" s="133"/>
      <c r="L116" s="133">
        <v>1500000</v>
      </c>
      <c r="M116" s="133">
        <v>2063949.99</v>
      </c>
      <c r="N116" s="133"/>
      <c r="O116" s="133"/>
      <c r="P116" s="133"/>
      <c r="Q116" s="133">
        <v>3563949.99</v>
      </c>
      <c r="R116" s="133" t="s">
        <v>9881</v>
      </c>
    </row>
    <row r="117" s="148" customFormat="1" customHeight="1" spans="1:18">
      <c r="A117" s="106">
        <v>112</v>
      </c>
      <c r="B117" s="106" t="s">
        <v>10497</v>
      </c>
      <c r="C117" s="155" t="s">
        <v>10498</v>
      </c>
      <c r="D117" s="156" t="s">
        <v>10499</v>
      </c>
      <c r="E117" s="133">
        <v>940800</v>
      </c>
      <c r="F117" s="133"/>
      <c r="G117" s="133"/>
      <c r="H117" s="133"/>
      <c r="I117" s="133"/>
      <c r="J117" s="133"/>
      <c r="K117" s="133"/>
      <c r="L117" s="133">
        <v>300000</v>
      </c>
      <c r="M117" s="133">
        <v>412790.01</v>
      </c>
      <c r="N117" s="133"/>
      <c r="O117" s="133"/>
      <c r="P117" s="133"/>
      <c r="Q117" s="133">
        <v>712790.01</v>
      </c>
      <c r="R117" s="133" t="s">
        <v>9881</v>
      </c>
    </row>
    <row r="118" s="148" customFormat="1" ht="25" customHeight="1" spans="1:18">
      <c r="A118" s="106">
        <v>113</v>
      </c>
      <c r="B118" s="106" t="s">
        <v>10500</v>
      </c>
      <c r="C118" s="155" t="s">
        <v>10501</v>
      </c>
      <c r="D118" s="156" t="s">
        <v>10502</v>
      </c>
      <c r="E118" s="133">
        <v>716784527.45</v>
      </c>
      <c r="F118" s="133"/>
      <c r="G118" s="133"/>
      <c r="H118" s="133"/>
      <c r="I118" s="133"/>
      <c r="J118" s="133"/>
      <c r="K118" s="133"/>
      <c r="L118" s="133">
        <v>395904706</v>
      </c>
      <c r="M118" s="133">
        <v>320879821.45</v>
      </c>
      <c r="N118" s="133"/>
      <c r="O118" s="133"/>
      <c r="P118" s="133">
        <v>0</v>
      </c>
      <c r="Q118" s="133">
        <v>716784527.45</v>
      </c>
      <c r="R118" s="133" t="s">
        <v>9881</v>
      </c>
    </row>
    <row r="119" s="148" customFormat="1" customHeight="1" spans="1:18">
      <c r="A119" s="106">
        <v>114</v>
      </c>
      <c r="B119" s="106" t="s">
        <v>10503</v>
      </c>
      <c r="C119" s="155" t="s">
        <v>10504</v>
      </c>
      <c r="D119" s="156" t="s">
        <v>10505</v>
      </c>
      <c r="E119" s="133">
        <v>7292103</v>
      </c>
      <c r="F119" s="133"/>
      <c r="G119" s="133"/>
      <c r="H119" s="133"/>
      <c r="I119" s="133"/>
      <c r="J119" s="133"/>
      <c r="K119" s="133"/>
      <c r="L119" s="133">
        <v>2500000</v>
      </c>
      <c r="M119" s="133">
        <v>3089916.67</v>
      </c>
      <c r="N119" s="133"/>
      <c r="O119" s="133"/>
      <c r="P119" s="133"/>
      <c r="Q119" s="133">
        <v>5589916.67</v>
      </c>
      <c r="R119" s="133" t="s">
        <v>9881</v>
      </c>
    </row>
    <row r="120" s="148" customFormat="1" customHeight="1" spans="1:18">
      <c r="A120" s="106">
        <v>115</v>
      </c>
      <c r="B120" s="106" t="s">
        <v>10506</v>
      </c>
      <c r="C120" s="155" t="s">
        <v>10507</v>
      </c>
      <c r="D120" s="156" t="s">
        <v>10508</v>
      </c>
      <c r="E120" s="133">
        <v>1570583</v>
      </c>
      <c r="F120" s="133"/>
      <c r="G120" s="133"/>
      <c r="H120" s="133"/>
      <c r="I120" s="133"/>
      <c r="J120" s="133"/>
      <c r="K120" s="133"/>
      <c r="L120" s="133">
        <v>500000</v>
      </c>
      <c r="M120" s="133">
        <v>687983.31</v>
      </c>
      <c r="N120" s="133"/>
      <c r="O120" s="133"/>
      <c r="P120" s="133"/>
      <c r="Q120" s="133">
        <v>1187983.31</v>
      </c>
      <c r="R120" s="133" t="s">
        <v>9881</v>
      </c>
    </row>
    <row r="121" s="148" customFormat="1" customHeight="1" spans="1:18">
      <c r="A121" s="106">
        <v>116</v>
      </c>
      <c r="B121" s="106" t="s">
        <v>10509</v>
      </c>
      <c r="C121" s="155" t="s">
        <v>10510</v>
      </c>
      <c r="D121" s="156" t="s">
        <v>10511</v>
      </c>
      <c r="E121" s="133">
        <v>3846400</v>
      </c>
      <c r="F121" s="133"/>
      <c r="G121" s="133"/>
      <c r="H121" s="133"/>
      <c r="I121" s="133"/>
      <c r="J121" s="133"/>
      <c r="K121" s="133"/>
      <c r="L121" s="133">
        <v>1250000</v>
      </c>
      <c r="M121" s="133">
        <v>1669958.33</v>
      </c>
      <c r="N121" s="133"/>
      <c r="O121" s="133"/>
      <c r="P121" s="133"/>
      <c r="Q121" s="133">
        <v>2919958.33</v>
      </c>
      <c r="R121" s="133" t="s">
        <v>9881</v>
      </c>
    </row>
    <row r="122" s="148" customFormat="1" customHeight="1" spans="1:18">
      <c r="A122" s="106">
        <v>117</v>
      </c>
      <c r="B122" s="106" t="s">
        <v>10512</v>
      </c>
      <c r="C122" s="155" t="s">
        <v>10513</v>
      </c>
      <c r="D122" s="156" t="s">
        <v>10514</v>
      </c>
      <c r="E122" s="133">
        <v>13821096</v>
      </c>
      <c r="F122" s="133"/>
      <c r="G122" s="133"/>
      <c r="H122" s="133"/>
      <c r="I122" s="133"/>
      <c r="J122" s="133"/>
      <c r="K122" s="133"/>
      <c r="L122" s="133">
        <v>4400000</v>
      </c>
      <c r="M122" s="133">
        <v>6054253.33</v>
      </c>
      <c r="N122" s="133"/>
      <c r="O122" s="133"/>
      <c r="P122" s="133"/>
      <c r="Q122" s="133">
        <v>10454253.33</v>
      </c>
      <c r="R122" s="133" t="s">
        <v>9881</v>
      </c>
    </row>
    <row r="123" s="148" customFormat="1" customHeight="1" spans="1:18">
      <c r="A123" s="106">
        <v>118</v>
      </c>
      <c r="B123" s="106" t="s">
        <v>10515</v>
      </c>
      <c r="C123" s="155" t="s">
        <v>10516</v>
      </c>
      <c r="D123" s="156" t="s">
        <v>10517</v>
      </c>
      <c r="E123" s="133">
        <v>4711840</v>
      </c>
      <c r="F123" s="133"/>
      <c r="G123" s="133"/>
      <c r="H123" s="133"/>
      <c r="I123" s="133"/>
      <c r="J123" s="133"/>
      <c r="K123" s="133"/>
      <c r="L123" s="133">
        <v>1500000</v>
      </c>
      <c r="M123" s="133">
        <v>2063949.99</v>
      </c>
      <c r="N123" s="133"/>
      <c r="O123" s="133"/>
      <c r="P123" s="133"/>
      <c r="Q123" s="133">
        <v>3563949.99</v>
      </c>
      <c r="R123" s="133" t="s">
        <v>9881</v>
      </c>
    </row>
    <row r="124" s="148" customFormat="1" customHeight="1" spans="1:18">
      <c r="A124" s="106">
        <v>119</v>
      </c>
      <c r="B124" s="106" t="s">
        <v>10518</v>
      </c>
      <c r="C124" s="155" t="s">
        <v>10519</v>
      </c>
      <c r="D124" s="156" t="s">
        <v>10520</v>
      </c>
      <c r="E124" s="133">
        <v>8947688</v>
      </c>
      <c r="F124" s="133"/>
      <c r="G124" s="133"/>
      <c r="H124" s="133"/>
      <c r="I124" s="133"/>
      <c r="J124" s="133"/>
      <c r="K124" s="133"/>
      <c r="L124" s="133">
        <v>2650000</v>
      </c>
      <c r="M124" s="133">
        <v>4035311.67</v>
      </c>
      <c r="N124" s="133"/>
      <c r="O124" s="133"/>
      <c r="P124" s="133"/>
      <c r="Q124" s="133">
        <v>6685311.67</v>
      </c>
      <c r="R124" s="133" t="s">
        <v>9881</v>
      </c>
    </row>
    <row r="125" s="148" customFormat="1" customHeight="1" spans="1:18">
      <c r="A125" s="106">
        <v>120</v>
      </c>
      <c r="B125" s="106" t="s">
        <v>10521</v>
      </c>
      <c r="C125" s="155" t="s">
        <v>10522</v>
      </c>
      <c r="D125" s="156" t="s">
        <v>10282</v>
      </c>
      <c r="E125" s="133">
        <v>3449600</v>
      </c>
      <c r="F125" s="133"/>
      <c r="G125" s="133"/>
      <c r="H125" s="133"/>
      <c r="I125" s="133"/>
      <c r="J125" s="133"/>
      <c r="K125" s="133"/>
      <c r="L125" s="133">
        <v>1100000</v>
      </c>
      <c r="M125" s="133">
        <v>1513563.33</v>
      </c>
      <c r="N125" s="133"/>
      <c r="O125" s="133"/>
      <c r="P125" s="133"/>
      <c r="Q125" s="133">
        <v>2613563.33</v>
      </c>
      <c r="R125" s="133" t="s">
        <v>9881</v>
      </c>
    </row>
    <row r="126" s="148" customFormat="1" customHeight="1" spans="1:18">
      <c r="A126" s="106">
        <v>121</v>
      </c>
      <c r="B126" s="106" t="s">
        <v>10523</v>
      </c>
      <c r="C126" s="155" t="s">
        <v>10524</v>
      </c>
      <c r="D126" s="156" t="s">
        <v>10525</v>
      </c>
      <c r="E126" s="133">
        <v>3136000</v>
      </c>
      <c r="F126" s="133"/>
      <c r="G126" s="133"/>
      <c r="H126" s="133"/>
      <c r="I126" s="133"/>
      <c r="J126" s="133"/>
      <c r="K126" s="133"/>
      <c r="L126" s="133">
        <v>1000000</v>
      </c>
      <c r="M126" s="133">
        <v>1375966.66</v>
      </c>
      <c r="N126" s="133"/>
      <c r="O126" s="133"/>
      <c r="P126" s="133"/>
      <c r="Q126" s="133">
        <v>2375966.66</v>
      </c>
      <c r="R126" s="133" t="s">
        <v>9881</v>
      </c>
    </row>
    <row r="127" s="148" customFormat="1" customHeight="1" spans="1:18">
      <c r="A127" s="106">
        <v>122</v>
      </c>
      <c r="B127" s="106" t="s">
        <v>10526</v>
      </c>
      <c r="C127" s="155" t="s">
        <v>10527</v>
      </c>
      <c r="D127" s="156" t="s">
        <v>10528</v>
      </c>
      <c r="E127" s="133">
        <v>24677371.3</v>
      </c>
      <c r="F127" s="133"/>
      <c r="G127" s="133"/>
      <c r="H127" s="133"/>
      <c r="I127" s="133"/>
      <c r="J127" s="133"/>
      <c r="K127" s="133"/>
      <c r="L127" s="133">
        <v>9500000</v>
      </c>
      <c r="M127" s="133">
        <v>13473295.33</v>
      </c>
      <c r="N127" s="133"/>
      <c r="O127" s="133"/>
      <c r="P127" s="133"/>
      <c r="Q127" s="133">
        <v>22973295.33</v>
      </c>
      <c r="R127" s="133" t="s">
        <v>9881</v>
      </c>
    </row>
    <row r="128" s="148" customFormat="1" customHeight="1" spans="1:18">
      <c r="A128" s="106">
        <v>123</v>
      </c>
      <c r="B128" s="106" t="s">
        <v>10529</v>
      </c>
      <c r="C128" s="155" t="s">
        <v>10530</v>
      </c>
      <c r="D128" s="156" t="s">
        <v>10531</v>
      </c>
      <c r="E128" s="133">
        <v>6910698</v>
      </c>
      <c r="F128" s="133"/>
      <c r="G128" s="133"/>
      <c r="H128" s="133"/>
      <c r="I128" s="133"/>
      <c r="J128" s="133"/>
      <c r="K128" s="133"/>
      <c r="L128" s="133">
        <v>2200000</v>
      </c>
      <c r="M128" s="133">
        <v>3027126.69</v>
      </c>
      <c r="N128" s="133"/>
      <c r="O128" s="133"/>
      <c r="P128" s="133"/>
      <c r="Q128" s="133">
        <v>5227126.69</v>
      </c>
      <c r="R128" s="133" t="s">
        <v>9881</v>
      </c>
    </row>
    <row r="129" s="98" customFormat="1" customHeight="1" spans="1:18">
      <c r="A129" s="106">
        <v>124</v>
      </c>
      <c r="B129" s="106" t="s">
        <v>10532</v>
      </c>
      <c r="C129" s="155" t="s">
        <v>10533</v>
      </c>
      <c r="D129" s="156" t="s">
        <v>10534</v>
      </c>
      <c r="E129" s="133">
        <v>4704000</v>
      </c>
      <c r="F129" s="133"/>
      <c r="G129" s="133"/>
      <c r="H129" s="133"/>
      <c r="I129" s="133"/>
      <c r="J129" s="133"/>
      <c r="K129" s="133"/>
      <c r="L129" s="133">
        <v>1500000</v>
      </c>
      <c r="M129" s="133">
        <v>2063949.99</v>
      </c>
      <c r="N129" s="133"/>
      <c r="O129" s="133"/>
      <c r="P129" s="133"/>
      <c r="Q129" s="133">
        <v>3563949.99</v>
      </c>
      <c r="R129" s="133" t="s">
        <v>9881</v>
      </c>
    </row>
    <row r="130" s="148" customFormat="1" customHeight="1" spans="1:18">
      <c r="A130" s="106">
        <v>125</v>
      </c>
      <c r="B130" s="106" t="s">
        <v>10535</v>
      </c>
      <c r="C130" s="155" t="s">
        <v>10536</v>
      </c>
      <c r="D130" s="156" t="s">
        <v>10537</v>
      </c>
      <c r="E130" s="133">
        <v>1277333</v>
      </c>
      <c r="F130" s="133"/>
      <c r="G130" s="133"/>
      <c r="H130" s="133"/>
      <c r="I130" s="133"/>
      <c r="J130" s="133"/>
      <c r="K130" s="133"/>
      <c r="L130" s="133">
        <v>500000</v>
      </c>
      <c r="M130" s="133">
        <v>687983.31</v>
      </c>
      <c r="N130" s="133"/>
      <c r="O130" s="133"/>
      <c r="P130" s="133"/>
      <c r="Q130" s="133">
        <v>1187983.31</v>
      </c>
      <c r="R130" s="133" t="s">
        <v>9881</v>
      </c>
    </row>
    <row r="131" s="98" customFormat="1" customHeight="1" spans="1:18">
      <c r="A131" s="106">
        <v>126</v>
      </c>
      <c r="B131" s="106" t="s">
        <v>10538</v>
      </c>
      <c r="C131" s="155" t="s">
        <v>10539</v>
      </c>
      <c r="D131" s="156" t="s">
        <v>10540</v>
      </c>
      <c r="E131" s="133">
        <v>1784071</v>
      </c>
      <c r="F131" s="133"/>
      <c r="G131" s="133"/>
      <c r="H131" s="133"/>
      <c r="I131" s="133"/>
      <c r="J131" s="133"/>
      <c r="K131" s="133"/>
      <c r="L131" s="133">
        <v>700000</v>
      </c>
      <c r="M131" s="133">
        <v>972976.66</v>
      </c>
      <c r="N131" s="133"/>
      <c r="O131" s="133"/>
      <c r="P131" s="133"/>
      <c r="Q131" s="133">
        <v>1672976.66</v>
      </c>
      <c r="R131" s="133" t="s">
        <v>9881</v>
      </c>
    </row>
    <row r="132" s="98" customFormat="1" customHeight="1" spans="1:18">
      <c r="A132" s="106">
        <v>127</v>
      </c>
      <c r="B132" s="106" t="s">
        <v>10541</v>
      </c>
      <c r="C132" s="155" t="s">
        <v>10542</v>
      </c>
      <c r="D132" s="156" t="s">
        <v>10543</v>
      </c>
      <c r="E132" s="133">
        <v>1277333</v>
      </c>
      <c r="F132" s="133"/>
      <c r="G132" s="133"/>
      <c r="H132" s="133"/>
      <c r="I132" s="133"/>
      <c r="J132" s="133"/>
      <c r="K132" s="133"/>
      <c r="L132" s="133">
        <v>500000</v>
      </c>
      <c r="M132" s="133">
        <v>694983.31</v>
      </c>
      <c r="N132" s="133"/>
      <c r="O132" s="133"/>
      <c r="P132" s="133"/>
      <c r="Q132" s="133">
        <v>1194983.31</v>
      </c>
      <c r="R132" s="133" t="s">
        <v>9881</v>
      </c>
    </row>
    <row r="133" s="98" customFormat="1" customHeight="1" spans="1:18">
      <c r="A133" s="106">
        <v>128</v>
      </c>
      <c r="B133" s="106" t="s">
        <v>10544</v>
      </c>
      <c r="C133" s="155" t="s">
        <v>10545</v>
      </c>
      <c r="D133" s="156" t="s">
        <v>10546</v>
      </c>
      <c r="E133" s="133">
        <v>1570613</v>
      </c>
      <c r="F133" s="133"/>
      <c r="G133" s="133"/>
      <c r="H133" s="133"/>
      <c r="I133" s="133"/>
      <c r="J133" s="133"/>
      <c r="K133" s="133"/>
      <c r="L133" s="133">
        <v>500000</v>
      </c>
      <c r="M133" s="133">
        <v>687983.31</v>
      </c>
      <c r="N133" s="133"/>
      <c r="O133" s="133"/>
      <c r="P133" s="133"/>
      <c r="Q133" s="133">
        <v>1187983.31</v>
      </c>
      <c r="R133" s="133" t="s">
        <v>9881</v>
      </c>
    </row>
    <row r="134" s="148" customFormat="1" customHeight="1" spans="1:18">
      <c r="A134" s="106">
        <v>129</v>
      </c>
      <c r="B134" s="106" t="s">
        <v>10547</v>
      </c>
      <c r="C134" s="155" t="s">
        <v>10548</v>
      </c>
      <c r="D134" s="156" t="s">
        <v>10549</v>
      </c>
      <c r="E134" s="133">
        <v>1570613</v>
      </c>
      <c r="F134" s="133"/>
      <c r="G134" s="133"/>
      <c r="H134" s="133"/>
      <c r="I134" s="133"/>
      <c r="J134" s="133"/>
      <c r="K134" s="133"/>
      <c r="L134" s="133">
        <v>500000</v>
      </c>
      <c r="M134" s="133">
        <v>687983.31</v>
      </c>
      <c r="N134" s="133"/>
      <c r="O134" s="133"/>
      <c r="P134" s="133"/>
      <c r="Q134" s="133">
        <v>1187983.31</v>
      </c>
      <c r="R134" s="133" t="s">
        <v>9881</v>
      </c>
    </row>
    <row r="135" s="148" customFormat="1" customHeight="1" spans="1:18">
      <c r="A135" s="106">
        <v>130</v>
      </c>
      <c r="B135" s="106" t="s">
        <v>10550</v>
      </c>
      <c r="C135" s="155" t="s">
        <v>10551</v>
      </c>
      <c r="D135" s="156" t="s">
        <v>10552</v>
      </c>
      <c r="E135" s="133">
        <v>5430400</v>
      </c>
      <c r="F135" s="133"/>
      <c r="G135" s="133"/>
      <c r="H135" s="133"/>
      <c r="I135" s="133"/>
      <c r="J135" s="133"/>
      <c r="K135" s="133"/>
      <c r="L135" s="133">
        <v>1700000</v>
      </c>
      <c r="M135" s="133">
        <v>2401143.34</v>
      </c>
      <c r="N135" s="133"/>
      <c r="O135" s="133"/>
      <c r="P135" s="133"/>
      <c r="Q135" s="133">
        <v>4101143.34</v>
      </c>
      <c r="R135" s="133" t="s">
        <v>9881</v>
      </c>
    </row>
    <row r="136" s="98" customFormat="1" customHeight="1" spans="1:18">
      <c r="A136" s="106">
        <v>131</v>
      </c>
      <c r="B136" s="106" t="s">
        <v>10553</v>
      </c>
      <c r="C136" s="155" t="s">
        <v>10554</v>
      </c>
      <c r="D136" s="156" t="s">
        <v>10555</v>
      </c>
      <c r="E136" s="133">
        <v>13573491.2</v>
      </c>
      <c r="F136" s="133"/>
      <c r="G136" s="133"/>
      <c r="H136" s="133"/>
      <c r="I136" s="133"/>
      <c r="J136" s="133"/>
      <c r="K136" s="133"/>
      <c r="L136" s="133">
        <v>4280000</v>
      </c>
      <c r="M136" s="133">
        <v>5983769.31</v>
      </c>
      <c r="N136" s="133"/>
      <c r="O136" s="133"/>
      <c r="P136" s="133"/>
      <c r="Q136" s="133">
        <v>10263769.31</v>
      </c>
      <c r="R136" s="133" t="s">
        <v>9881</v>
      </c>
    </row>
    <row r="137" s="98" customFormat="1" customHeight="1" spans="1:18">
      <c r="A137" s="106">
        <v>132</v>
      </c>
      <c r="B137" s="106" t="s">
        <v>10556</v>
      </c>
      <c r="C137" s="155" t="s">
        <v>10557</v>
      </c>
      <c r="D137" s="156" t="s">
        <v>10558</v>
      </c>
      <c r="E137" s="133">
        <v>1017916</v>
      </c>
      <c r="F137" s="133"/>
      <c r="G137" s="133"/>
      <c r="H137" s="133"/>
      <c r="I137" s="133"/>
      <c r="J137" s="133"/>
      <c r="K137" s="133"/>
      <c r="L137" s="133">
        <v>230000</v>
      </c>
      <c r="M137" s="133">
        <v>788732.3</v>
      </c>
      <c r="N137" s="133"/>
      <c r="O137" s="133"/>
      <c r="P137" s="133"/>
      <c r="Q137" s="133">
        <v>1017916</v>
      </c>
      <c r="R137" s="133" t="s">
        <v>9881</v>
      </c>
    </row>
    <row r="138" s="98" customFormat="1" ht="25" customHeight="1" spans="1:18">
      <c r="A138" s="106">
        <v>133</v>
      </c>
      <c r="B138" s="106" t="s">
        <v>10559</v>
      </c>
      <c r="C138" s="155" t="s">
        <v>10560</v>
      </c>
      <c r="D138" s="166" t="s">
        <v>10561</v>
      </c>
      <c r="E138" s="133">
        <v>942368</v>
      </c>
      <c r="F138" s="133"/>
      <c r="G138" s="133"/>
      <c r="H138" s="133"/>
      <c r="I138" s="133"/>
      <c r="J138" s="133"/>
      <c r="K138" s="133"/>
      <c r="L138" s="133">
        <v>300000</v>
      </c>
      <c r="M138" s="133">
        <v>412790.01</v>
      </c>
      <c r="N138" s="133"/>
      <c r="O138" s="133"/>
      <c r="P138" s="133"/>
      <c r="Q138" s="133">
        <v>712790.01</v>
      </c>
      <c r="R138" s="133" t="s">
        <v>9881</v>
      </c>
    </row>
    <row r="139" s="98" customFormat="1" customHeight="1" spans="1:18">
      <c r="A139" s="106">
        <v>134</v>
      </c>
      <c r="B139" s="106" t="s">
        <v>10562</v>
      </c>
      <c r="C139" s="155" t="s">
        <v>10563</v>
      </c>
      <c r="D139" s="156" t="s">
        <v>10564</v>
      </c>
      <c r="E139" s="133">
        <v>628245</v>
      </c>
      <c r="F139" s="133"/>
      <c r="G139" s="133"/>
      <c r="H139" s="133"/>
      <c r="I139" s="133"/>
      <c r="J139" s="133"/>
      <c r="K139" s="133"/>
      <c r="L139" s="133">
        <v>200000</v>
      </c>
      <c r="M139" s="133">
        <v>275193.34</v>
      </c>
      <c r="N139" s="133"/>
      <c r="O139" s="133"/>
      <c r="P139" s="133"/>
      <c r="Q139" s="133">
        <v>475193.34</v>
      </c>
      <c r="R139" s="133" t="s">
        <v>9881</v>
      </c>
    </row>
    <row r="140" s="98" customFormat="1" customHeight="1" spans="1:18">
      <c r="A140" s="106">
        <v>135</v>
      </c>
      <c r="B140" s="106" t="s">
        <v>10565</v>
      </c>
      <c r="C140" s="155" t="s">
        <v>10566</v>
      </c>
      <c r="D140" s="156" t="s">
        <v>10567</v>
      </c>
      <c r="E140" s="133">
        <v>4144185</v>
      </c>
      <c r="F140" s="133"/>
      <c r="G140" s="133"/>
      <c r="H140" s="133"/>
      <c r="I140" s="133"/>
      <c r="J140" s="133"/>
      <c r="K140" s="133"/>
      <c r="L140" s="133">
        <v>1300000</v>
      </c>
      <c r="M140" s="133">
        <v>1826562.69</v>
      </c>
      <c r="N140" s="133"/>
      <c r="O140" s="133"/>
      <c r="P140" s="133"/>
      <c r="Q140" s="133">
        <v>3126562.69</v>
      </c>
      <c r="R140" s="133" t="s">
        <v>9881</v>
      </c>
    </row>
    <row r="141" s="148" customFormat="1" customHeight="1" spans="1:18">
      <c r="A141" s="106">
        <v>136</v>
      </c>
      <c r="B141" s="106" t="s">
        <v>10568</v>
      </c>
      <c r="C141" s="155" t="s">
        <v>10569</v>
      </c>
      <c r="D141" s="156" t="s">
        <v>10570</v>
      </c>
      <c r="E141" s="133">
        <v>2195200</v>
      </c>
      <c r="F141" s="133"/>
      <c r="G141" s="133"/>
      <c r="H141" s="133"/>
      <c r="I141" s="133"/>
      <c r="J141" s="133"/>
      <c r="K141" s="133"/>
      <c r="L141" s="133">
        <v>700000</v>
      </c>
      <c r="M141" s="133">
        <v>963176.66</v>
      </c>
      <c r="N141" s="133"/>
      <c r="O141" s="133"/>
      <c r="P141" s="133"/>
      <c r="Q141" s="133">
        <v>1663176.66</v>
      </c>
      <c r="R141" s="133" t="s">
        <v>9881</v>
      </c>
    </row>
    <row r="142" s="148" customFormat="1" customHeight="1" spans="1:18">
      <c r="A142" s="106">
        <v>137</v>
      </c>
      <c r="B142" s="106" t="s">
        <v>10571</v>
      </c>
      <c r="C142" s="155" t="s">
        <v>10572</v>
      </c>
      <c r="D142" s="156" t="s">
        <v>10573</v>
      </c>
      <c r="E142" s="133">
        <v>3763200</v>
      </c>
      <c r="F142" s="133"/>
      <c r="G142" s="133"/>
      <c r="H142" s="133"/>
      <c r="I142" s="133"/>
      <c r="J142" s="133"/>
      <c r="K142" s="133"/>
      <c r="L142" s="133">
        <v>1200000</v>
      </c>
      <c r="M142" s="133">
        <v>1651160.01</v>
      </c>
      <c r="N142" s="133"/>
      <c r="O142" s="133"/>
      <c r="P142" s="133"/>
      <c r="Q142" s="133">
        <v>2851160.01</v>
      </c>
      <c r="R142" s="133" t="s">
        <v>9881</v>
      </c>
    </row>
    <row r="143" s="148" customFormat="1" customHeight="1" spans="1:18">
      <c r="A143" s="106">
        <v>138</v>
      </c>
      <c r="B143" s="106" t="s">
        <v>10574</v>
      </c>
      <c r="C143" s="155" t="s">
        <v>10575</v>
      </c>
      <c r="D143" s="156" t="s">
        <v>10576</v>
      </c>
      <c r="E143" s="133">
        <v>2508800</v>
      </c>
      <c r="F143" s="133"/>
      <c r="G143" s="133"/>
      <c r="H143" s="133"/>
      <c r="I143" s="133"/>
      <c r="J143" s="133"/>
      <c r="K143" s="133"/>
      <c r="L143" s="133">
        <v>800000</v>
      </c>
      <c r="M143" s="133">
        <v>1100773.34</v>
      </c>
      <c r="N143" s="133"/>
      <c r="O143" s="133"/>
      <c r="P143" s="133"/>
      <c r="Q143" s="133">
        <v>1900773.34</v>
      </c>
      <c r="R143" s="133" t="s">
        <v>9881</v>
      </c>
    </row>
    <row r="144" s="148" customFormat="1" customHeight="1" spans="1:18">
      <c r="A144" s="106">
        <v>139</v>
      </c>
      <c r="B144" s="106" t="s">
        <v>10577</v>
      </c>
      <c r="C144" s="155" t="s">
        <v>10578</v>
      </c>
      <c r="D144" s="156" t="s">
        <v>10579</v>
      </c>
      <c r="E144" s="133">
        <v>5432640</v>
      </c>
      <c r="F144" s="133"/>
      <c r="G144" s="133"/>
      <c r="H144" s="133"/>
      <c r="I144" s="133"/>
      <c r="J144" s="133"/>
      <c r="K144" s="133"/>
      <c r="L144" s="133">
        <v>1700000</v>
      </c>
      <c r="M144" s="133">
        <v>2402543.34</v>
      </c>
      <c r="N144" s="133"/>
      <c r="O144" s="133"/>
      <c r="P144" s="133"/>
      <c r="Q144" s="133">
        <v>4102543.34</v>
      </c>
      <c r="R144" s="133" t="s">
        <v>9881</v>
      </c>
    </row>
    <row r="145" s="148" customFormat="1" ht="17" customHeight="1" spans="1:18">
      <c r="A145" s="106">
        <v>140</v>
      </c>
      <c r="B145" s="106" t="s">
        <v>10580</v>
      </c>
      <c r="C145" s="155" t="s">
        <v>10581</v>
      </c>
      <c r="D145" s="156" t="s">
        <v>10582</v>
      </c>
      <c r="E145" s="133">
        <v>5099384</v>
      </c>
      <c r="F145" s="133"/>
      <c r="G145" s="133"/>
      <c r="H145" s="133"/>
      <c r="I145" s="133"/>
      <c r="J145" s="133"/>
      <c r="K145" s="133"/>
      <c r="L145" s="133">
        <v>1700000</v>
      </c>
      <c r="M145" s="133">
        <v>2189143.34</v>
      </c>
      <c r="N145" s="133"/>
      <c r="O145" s="133"/>
      <c r="P145" s="133"/>
      <c r="Q145" s="133">
        <v>3889143.34</v>
      </c>
      <c r="R145" s="133" t="s">
        <v>9881</v>
      </c>
    </row>
    <row r="146" s="148" customFormat="1" customHeight="1" spans="1:18">
      <c r="A146" s="106">
        <v>141</v>
      </c>
      <c r="B146" s="106" t="s">
        <v>10583</v>
      </c>
      <c r="C146" s="155" t="s">
        <v>10584</v>
      </c>
      <c r="D146" s="156" t="s">
        <v>10585</v>
      </c>
      <c r="E146" s="133">
        <v>1570312</v>
      </c>
      <c r="F146" s="133"/>
      <c r="G146" s="133"/>
      <c r="H146" s="133"/>
      <c r="I146" s="133"/>
      <c r="J146" s="133"/>
      <c r="K146" s="133"/>
      <c r="L146" s="133">
        <v>500000</v>
      </c>
      <c r="M146" s="133">
        <v>687983.31</v>
      </c>
      <c r="N146" s="133"/>
      <c r="O146" s="133"/>
      <c r="P146" s="133"/>
      <c r="Q146" s="133">
        <v>1187983.31</v>
      </c>
      <c r="R146" s="133" t="s">
        <v>9881</v>
      </c>
    </row>
    <row r="147" s="148" customFormat="1" customHeight="1" spans="1:18">
      <c r="A147" s="106">
        <v>142</v>
      </c>
      <c r="B147" s="106" t="s">
        <v>10586</v>
      </c>
      <c r="C147" s="155" t="s">
        <v>10587</v>
      </c>
      <c r="D147" s="156" t="s">
        <v>10588</v>
      </c>
      <c r="E147" s="133">
        <v>37313266.6666667</v>
      </c>
      <c r="F147" s="133"/>
      <c r="G147" s="133"/>
      <c r="H147" s="133"/>
      <c r="I147" s="133"/>
      <c r="J147" s="133"/>
      <c r="K147" s="133"/>
      <c r="L147" s="133">
        <v>24750000</v>
      </c>
      <c r="M147" s="133">
        <v>12391167.13</v>
      </c>
      <c r="N147" s="133">
        <v>0</v>
      </c>
      <c r="O147" s="133"/>
      <c r="P147" s="133">
        <v>0</v>
      </c>
      <c r="Q147" s="133">
        <v>37141167.13</v>
      </c>
      <c r="R147" s="133" t="s">
        <v>9881</v>
      </c>
    </row>
    <row r="148" s="148" customFormat="1" customHeight="1" spans="1:18">
      <c r="A148" s="106">
        <v>143</v>
      </c>
      <c r="B148" s="106" t="s">
        <v>10589</v>
      </c>
      <c r="C148" s="155" t="s">
        <v>10590</v>
      </c>
      <c r="D148" s="156" t="s">
        <v>10591</v>
      </c>
      <c r="E148" s="133">
        <v>9817936</v>
      </c>
      <c r="F148" s="133"/>
      <c r="G148" s="133"/>
      <c r="H148" s="133"/>
      <c r="I148" s="133"/>
      <c r="J148" s="133"/>
      <c r="K148" s="133"/>
      <c r="L148" s="133">
        <v>3100000</v>
      </c>
      <c r="M148" s="133">
        <v>4894266.67</v>
      </c>
      <c r="N148" s="133"/>
      <c r="O148" s="133"/>
      <c r="P148" s="133"/>
      <c r="Q148" s="133">
        <v>7994266.67</v>
      </c>
      <c r="R148" s="133" t="s">
        <v>9881</v>
      </c>
    </row>
    <row r="149" s="148" customFormat="1" customHeight="1" spans="1:18">
      <c r="A149" s="106">
        <v>144</v>
      </c>
      <c r="B149" s="106" t="s">
        <v>10592</v>
      </c>
      <c r="C149" s="155" t="s">
        <v>10593</v>
      </c>
      <c r="D149" s="156" t="s">
        <v>10594</v>
      </c>
      <c r="E149" s="133">
        <v>1570613</v>
      </c>
      <c r="F149" s="133"/>
      <c r="G149" s="133"/>
      <c r="H149" s="133"/>
      <c r="I149" s="133"/>
      <c r="J149" s="133"/>
      <c r="K149" s="133"/>
      <c r="L149" s="133">
        <v>500000</v>
      </c>
      <c r="M149" s="133">
        <v>687983.31</v>
      </c>
      <c r="N149" s="133"/>
      <c r="O149" s="133"/>
      <c r="P149" s="133"/>
      <c r="Q149" s="133">
        <v>1187983.31</v>
      </c>
      <c r="R149" s="133" t="s">
        <v>9881</v>
      </c>
    </row>
    <row r="150" s="148" customFormat="1" customHeight="1" spans="1:18">
      <c r="A150" s="106">
        <v>145</v>
      </c>
      <c r="B150" s="106" t="s">
        <v>10595</v>
      </c>
      <c r="C150" s="155" t="s">
        <v>10593</v>
      </c>
      <c r="D150" s="156" t="s">
        <v>10594</v>
      </c>
      <c r="E150" s="133">
        <v>1570613</v>
      </c>
      <c r="F150" s="133"/>
      <c r="G150" s="133"/>
      <c r="H150" s="133"/>
      <c r="I150" s="133"/>
      <c r="J150" s="133"/>
      <c r="K150" s="133"/>
      <c r="L150" s="133">
        <v>500000</v>
      </c>
      <c r="M150" s="133">
        <v>687983.31</v>
      </c>
      <c r="N150" s="133"/>
      <c r="O150" s="133"/>
      <c r="P150" s="133"/>
      <c r="Q150" s="133">
        <v>1187983.31</v>
      </c>
      <c r="R150" s="133" t="s">
        <v>9881</v>
      </c>
    </row>
    <row r="151" s="148" customFormat="1" customHeight="1" spans="1:18">
      <c r="A151" s="106">
        <v>146</v>
      </c>
      <c r="B151" s="106" t="s">
        <v>10596</v>
      </c>
      <c r="C151" s="155" t="s">
        <v>10597</v>
      </c>
      <c r="D151" s="156" t="s">
        <v>10598</v>
      </c>
      <c r="E151" s="133">
        <v>830569.6</v>
      </c>
      <c r="F151" s="133"/>
      <c r="G151" s="133"/>
      <c r="H151" s="133"/>
      <c r="I151" s="133"/>
      <c r="J151" s="133"/>
      <c r="K151" s="133"/>
      <c r="L151" s="133">
        <v>400000</v>
      </c>
      <c r="M151" s="133">
        <v>550386.69</v>
      </c>
      <c r="N151" s="133"/>
      <c r="O151" s="133"/>
      <c r="P151" s="133"/>
      <c r="Q151" s="133">
        <v>950386.69</v>
      </c>
      <c r="R151" s="133" t="s">
        <v>9881</v>
      </c>
    </row>
    <row r="152" s="148" customFormat="1" customHeight="1" spans="1:18">
      <c r="A152" s="106">
        <v>147</v>
      </c>
      <c r="B152" s="106" t="s">
        <v>10599</v>
      </c>
      <c r="C152" s="155" t="s">
        <v>10600</v>
      </c>
      <c r="D152" s="156" t="s">
        <v>10601</v>
      </c>
      <c r="E152" s="133">
        <v>516160</v>
      </c>
      <c r="F152" s="133"/>
      <c r="G152" s="133"/>
      <c r="H152" s="133"/>
      <c r="I152" s="133"/>
      <c r="J152" s="133"/>
      <c r="K152" s="133"/>
      <c r="L152" s="133">
        <v>100000</v>
      </c>
      <c r="M152" s="133">
        <v>267396.67</v>
      </c>
      <c r="N152" s="133"/>
      <c r="O152" s="133"/>
      <c r="P152" s="133"/>
      <c r="Q152" s="133">
        <v>367396.67</v>
      </c>
      <c r="R152" s="133" t="s">
        <v>9881</v>
      </c>
    </row>
    <row r="153" s="148" customFormat="1" customHeight="1" spans="1:18">
      <c r="A153" s="106">
        <v>148</v>
      </c>
      <c r="B153" s="106" t="s">
        <v>10602</v>
      </c>
      <c r="C153" s="155" t="s">
        <v>10603</v>
      </c>
      <c r="D153" s="156" t="s">
        <v>10604</v>
      </c>
      <c r="E153" s="133">
        <v>6248480</v>
      </c>
      <c r="F153" s="133"/>
      <c r="G153" s="133"/>
      <c r="H153" s="133"/>
      <c r="I153" s="133"/>
      <c r="J153" s="133"/>
      <c r="K153" s="133"/>
      <c r="L153" s="133">
        <v>2000000</v>
      </c>
      <c r="M153" s="133">
        <v>2751933.33</v>
      </c>
      <c r="N153" s="133"/>
      <c r="O153" s="133"/>
      <c r="P153" s="133"/>
      <c r="Q153" s="133">
        <v>4751933.33</v>
      </c>
      <c r="R153" s="133" t="s">
        <v>9881</v>
      </c>
    </row>
    <row r="154" s="148" customFormat="1" customHeight="1" spans="1:18">
      <c r="A154" s="106">
        <v>149</v>
      </c>
      <c r="B154" s="106" t="s">
        <v>10605</v>
      </c>
      <c r="C154" s="155" t="s">
        <v>10606</v>
      </c>
      <c r="D154" s="156" t="s">
        <v>10607</v>
      </c>
      <c r="E154" s="133">
        <v>4686360</v>
      </c>
      <c r="F154" s="133"/>
      <c r="G154" s="133"/>
      <c r="H154" s="133"/>
      <c r="I154" s="133"/>
      <c r="J154" s="133"/>
      <c r="K154" s="133"/>
      <c r="L154" s="133">
        <v>1500000</v>
      </c>
      <c r="M154" s="133">
        <v>2063949.99</v>
      </c>
      <c r="N154" s="133"/>
      <c r="O154" s="133"/>
      <c r="P154" s="133"/>
      <c r="Q154" s="133">
        <v>3563949.99</v>
      </c>
      <c r="R154" s="133" t="s">
        <v>9881</v>
      </c>
    </row>
    <row r="155" s="148" customFormat="1" customHeight="1" spans="1:18">
      <c r="A155" s="106">
        <v>150</v>
      </c>
      <c r="B155" s="106" t="s">
        <v>10608</v>
      </c>
      <c r="C155" s="155" t="s">
        <v>10609</v>
      </c>
      <c r="D155" s="156" t="s">
        <v>10610</v>
      </c>
      <c r="E155" s="133">
        <v>7480004.4</v>
      </c>
      <c r="F155" s="133"/>
      <c r="G155" s="133"/>
      <c r="H155" s="133"/>
      <c r="I155" s="133"/>
      <c r="J155" s="133"/>
      <c r="K155" s="133"/>
      <c r="L155" s="133">
        <v>2370000</v>
      </c>
      <c r="M155" s="133">
        <v>3308441.01</v>
      </c>
      <c r="N155" s="133"/>
      <c r="O155" s="133"/>
      <c r="P155" s="133"/>
      <c r="Q155" s="133">
        <v>5678441.01</v>
      </c>
      <c r="R155" s="133" t="s">
        <v>9881</v>
      </c>
    </row>
    <row r="156" s="148" customFormat="1" customHeight="1" spans="1:18">
      <c r="A156" s="106">
        <v>151</v>
      </c>
      <c r="B156" s="106" t="s">
        <v>10611</v>
      </c>
      <c r="C156" s="155" t="s">
        <v>10612</v>
      </c>
      <c r="D156" s="156" t="s">
        <v>10613</v>
      </c>
      <c r="E156" s="133">
        <v>5365404</v>
      </c>
      <c r="F156" s="133"/>
      <c r="G156" s="133"/>
      <c r="H156" s="133"/>
      <c r="I156" s="133"/>
      <c r="J156" s="133"/>
      <c r="K156" s="133"/>
      <c r="L156" s="133">
        <v>1700000</v>
      </c>
      <c r="M156" s="133">
        <v>2373143.34</v>
      </c>
      <c r="N156" s="133"/>
      <c r="O156" s="133"/>
      <c r="P156" s="133"/>
      <c r="Q156" s="133">
        <v>4073143.34</v>
      </c>
      <c r="R156" s="133" t="s">
        <v>9881</v>
      </c>
    </row>
    <row r="157" s="148" customFormat="1" customHeight="1" spans="1:18">
      <c r="A157" s="106">
        <v>152</v>
      </c>
      <c r="B157" s="106" t="s">
        <v>10614</v>
      </c>
      <c r="C157" s="155" t="s">
        <v>10615</v>
      </c>
      <c r="D157" s="156" t="s">
        <v>10616</v>
      </c>
      <c r="E157" s="133">
        <v>3124240</v>
      </c>
      <c r="F157" s="133"/>
      <c r="G157" s="133"/>
      <c r="H157" s="133"/>
      <c r="I157" s="133"/>
      <c r="J157" s="133"/>
      <c r="K157" s="133"/>
      <c r="L157" s="133">
        <v>1000000</v>
      </c>
      <c r="M157" s="133">
        <v>1375966.66</v>
      </c>
      <c r="N157" s="133"/>
      <c r="O157" s="133"/>
      <c r="P157" s="133"/>
      <c r="Q157" s="133">
        <v>2375966.66</v>
      </c>
      <c r="R157" s="133" t="s">
        <v>9881</v>
      </c>
    </row>
    <row r="158" s="148" customFormat="1" customHeight="1" spans="1:18">
      <c r="A158" s="106">
        <v>153</v>
      </c>
      <c r="B158" s="106" t="s">
        <v>10617</v>
      </c>
      <c r="C158" s="155" t="s">
        <v>10618</v>
      </c>
      <c r="D158" s="156" t="s">
        <v>10619</v>
      </c>
      <c r="E158" s="133">
        <v>1570610</v>
      </c>
      <c r="F158" s="133"/>
      <c r="G158" s="133"/>
      <c r="H158" s="133"/>
      <c r="I158" s="133"/>
      <c r="J158" s="133"/>
      <c r="K158" s="133"/>
      <c r="L158" s="133">
        <v>500000</v>
      </c>
      <c r="M158" s="133">
        <v>687983.31</v>
      </c>
      <c r="N158" s="133"/>
      <c r="O158" s="133"/>
      <c r="P158" s="133"/>
      <c r="Q158" s="133">
        <v>1187983.31</v>
      </c>
      <c r="R158" s="133" t="s">
        <v>9881</v>
      </c>
    </row>
    <row r="159" s="148" customFormat="1" customHeight="1" spans="1:18">
      <c r="A159" s="106">
        <v>154</v>
      </c>
      <c r="B159" s="106" t="s">
        <v>10620</v>
      </c>
      <c r="C159" s="155" t="s">
        <v>10621</v>
      </c>
      <c r="D159" s="156" t="s">
        <v>10622</v>
      </c>
      <c r="E159" s="133">
        <v>6346560</v>
      </c>
      <c r="F159" s="133"/>
      <c r="G159" s="133"/>
      <c r="H159" s="133"/>
      <c r="I159" s="133"/>
      <c r="J159" s="133"/>
      <c r="K159" s="133"/>
      <c r="L159" s="133">
        <v>2000000</v>
      </c>
      <c r="M159" s="133">
        <v>2791933.34</v>
      </c>
      <c r="N159" s="133"/>
      <c r="O159" s="133"/>
      <c r="P159" s="133"/>
      <c r="Q159" s="133">
        <v>4791933.34</v>
      </c>
      <c r="R159" s="133" t="s">
        <v>9881</v>
      </c>
    </row>
    <row r="160" s="148" customFormat="1" customHeight="1" spans="1:18">
      <c r="A160" s="106">
        <v>155</v>
      </c>
      <c r="B160" s="106" t="s">
        <v>10623</v>
      </c>
      <c r="C160" s="155" t="s">
        <v>10624</v>
      </c>
      <c r="D160" s="156" t="s">
        <v>10625</v>
      </c>
      <c r="E160" s="133">
        <v>785306</v>
      </c>
      <c r="F160" s="133"/>
      <c r="G160" s="133"/>
      <c r="H160" s="133"/>
      <c r="I160" s="133"/>
      <c r="J160" s="133"/>
      <c r="K160" s="133"/>
      <c r="L160" s="133">
        <v>250000</v>
      </c>
      <c r="M160" s="133">
        <v>343991.66</v>
      </c>
      <c r="N160" s="133"/>
      <c r="O160" s="133"/>
      <c r="P160" s="133"/>
      <c r="Q160" s="133">
        <v>593991.66</v>
      </c>
      <c r="R160" s="133" t="s">
        <v>9881</v>
      </c>
    </row>
    <row r="161" s="148" customFormat="1" customHeight="1" spans="1:18">
      <c r="A161" s="106">
        <v>156</v>
      </c>
      <c r="B161" s="106" t="s">
        <v>10626</v>
      </c>
      <c r="C161" s="155" t="s">
        <v>10627</v>
      </c>
      <c r="D161" s="156" t="s">
        <v>10628</v>
      </c>
      <c r="E161" s="133">
        <v>1605893</v>
      </c>
      <c r="F161" s="133"/>
      <c r="G161" s="133"/>
      <c r="H161" s="133"/>
      <c r="I161" s="133"/>
      <c r="J161" s="133"/>
      <c r="K161" s="133"/>
      <c r="L161" s="133">
        <v>500000</v>
      </c>
      <c r="M161" s="133">
        <v>687983.31</v>
      </c>
      <c r="N161" s="133"/>
      <c r="O161" s="133"/>
      <c r="P161" s="133"/>
      <c r="Q161" s="133">
        <v>1187983.31</v>
      </c>
      <c r="R161" s="133" t="s">
        <v>9881</v>
      </c>
    </row>
    <row r="162" s="148" customFormat="1" customHeight="1" spans="1:18">
      <c r="A162" s="106">
        <v>157</v>
      </c>
      <c r="B162" s="106" t="s">
        <v>10629</v>
      </c>
      <c r="C162" s="155" t="s">
        <v>8094</v>
      </c>
      <c r="D162" s="156" t="s">
        <v>10630</v>
      </c>
      <c r="E162" s="133">
        <v>170180</v>
      </c>
      <c r="F162" s="133"/>
      <c r="G162" s="133"/>
      <c r="H162" s="133"/>
      <c r="I162" s="133"/>
      <c r="J162" s="133"/>
      <c r="K162" s="133"/>
      <c r="L162" s="133"/>
      <c r="M162" s="133"/>
      <c r="N162" s="133"/>
      <c r="O162" s="133"/>
      <c r="P162" s="133"/>
      <c r="Q162" s="133">
        <v>170180</v>
      </c>
      <c r="R162" s="133" t="s">
        <v>9808</v>
      </c>
    </row>
    <row r="163" s="98" customFormat="1" customHeight="1" spans="1:18">
      <c r="A163" s="106">
        <v>158</v>
      </c>
      <c r="B163" s="106" t="s">
        <v>10631</v>
      </c>
      <c r="C163" s="155" t="s">
        <v>10632</v>
      </c>
      <c r="D163" s="156" t="s">
        <v>10633</v>
      </c>
      <c r="E163" s="133">
        <v>198397434.84</v>
      </c>
      <c r="F163" s="133"/>
      <c r="G163" s="133"/>
      <c r="H163" s="133"/>
      <c r="I163" s="133"/>
      <c r="J163" s="133"/>
      <c r="K163" s="133"/>
      <c r="L163" s="133">
        <v>135978542</v>
      </c>
      <c r="M163" s="133">
        <v>62418892.84</v>
      </c>
      <c r="N163" s="133"/>
      <c r="O163" s="133"/>
      <c r="P163" s="133">
        <v>0</v>
      </c>
      <c r="Q163" s="133">
        <v>198397434.84</v>
      </c>
      <c r="R163" s="133" t="s">
        <v>9881</v>
      </c>
    </row>
    <row r="164" s="98" customFormat="1" customHeight="1" spans="1:18">
      <c r="A164" s="106">
        <v>159</v>
      </c>
      <c r="B164" s="106" t="s">
        <v>10634</v>
      </c>
      <c r="C164" s="155" t="s">
        <v>10632</v>
      </c>
      <c r="D164" s="156" t="s">
        <v>10633</v>
      </c>
      <c r="E164" s="133">
        <v>2833653.33</v>
      </c>
      <c r="F164" s="133"/>
      <c r="G164" s="133"/>
      <c r="H164" s="133"/>
      <c r="I164" s="133"/>
      <c r="J164" s="133"/>
      <c r="K164" s="133"/>
      <c r="L164" s="133"/>
      <c r="M164" s="133"/>
      <c r="N164" s="133"/>
      <c r="O164" s="133"/>
      <c r="P164" s="133"/>
      <c r="Q164" s="133"/>
      <c r="R164" s="133" t="s">
        <v>9881</v>
      </c>
    </row>
    <row r="165" s="98" customFormat="1" customHeight="1" spans="1:18">
      <c r="A165" s="106">
        <v>160</v>
      </c>
      <c r="B165" s="106" t="s">
        <v>10635</v>
      </c>
      <c r="C165" s="155" t="s">
        <v>10636</v>
      </c>
      <c r="D165" s="156" t="s">
        <v>10637</v>
      </c>
      <c r="E165" s="133">
        <v>1127803</v>
      </c>
      <c r="F165" s="133"/>
      <c r="G165" s="133"/>
      <c r="H165" s="133"/>
      <c r="I165" s="133"/>
      <c r="J165" s="133"/>
      <c r="K165" s="133"/>
      <c r="L165" s="133">
        <v>300000</v>
      </c>
      <c r="M165" s="133">
        <v>613500.01</v>
      </c>
      <c r="N165" s="133"/>
      <c r="O165" s="133"/>
      <c r="P165" s="133"/>
      <c r="Q165" s="133">
        <v>913500.01</v>
      </c>
      <c r="R165" s="133" t="s">
        <v>9881</v>
      </c>
    </row>
    <row r="166" s="98" customFormat="1" ht="26" customHeight="1" spans="1:18">
      <c r="A166" s="106">
        <v>161</v>
      </c>
      <c r="B166" s="106" t="s">
        <v>10638</v>
      </c>
      <c r="C166" s="155" t="s">
        <v>10639</v>
      </c>
      <c r="D166" s="156" t="s">
        <v>10640</v>
      </c>
      <c r="E166" s="133">
        <v>88576333.33</v>
      </c>
      <c r="F166" s="133"/>
      <c r="G166" s="133"/>
      <c r="H166" s="133"/>
      <c r="I166" s="133"/>
      <c r="J166" s="133"/>
      <c r="K166" s="133"/>
      <c r="L166" s="133">
        <v>57000000</v>
      </c>
      <c r="M166" s="133">
        <v>31143780.83</v>
      </c>
      <c r="N166" s="133">
        <v>0</v>
      </c>
      <c r="O166" s="133"/>
      <c r="P166" s="133">
        <v>0</v>
      </c>
      <c r="Q166" s="133">
        <v>88143780.83</v>
      </c>
      <c r="R166" s="133" t="s">
        <v>9881</v>
      </c>
    </row>
    <row r="167" s="98" customFormat="1" customHeight="1" spans="1:18">
      <c r="A167" s="106">
        <v>162</v>
      </c>
      <c r="B167" s="106" t="s">
        <v>10641</v>
      </c>
      <c r="C167" s="155" t="s">
        <v>10183</v>
      </c>
      <c r="D167" s="156" t="s">
        <v>10642</v>
      </c>
      <c r="E167" s="133">
        <v>5372500</v>
      </c>
      <c r="F167" s="133"/>
      <c r="G167" s="133"/>
      <c r="H167" s="133"/>
      <c r="I167" s="133"/>
      <c r="J167" s="133"/>
      <c r="K167" s="133"/>
      <c r="L167" s="133">
        <v>4000000</v>
      </c>
      <c r="M167" s="133">
        <v>1372500</v>
      </c>
      <c r="N167" s="133">
        <v>0</v>
      </c>
      <c r="O167" s="133"/>
      <c r="P167" s="133">
        <v>0</v>
      </c>
      <c r="Q167" s="133">
        <v>5372500</v>
      </c>
      <c r="R167" s="133" t="s">
        <v>9881</v>
      </c>
    </row>
    <row r="168" s="98" customFormat="1" customHeight="1" spans="1:18">
      <c r="A168" s="106">
        <v>163</v>
      </c>
      <c r="B168" s="106" t="s">
        <v>10643</v>
      </c>
      <c r="C168" s="155" t="s">
        <v>10644</v>
      </c>
      <c r="D168" s="156" t="s">
        <v>10645</v>
      </c>
      <c r="E168" s="133">
        <v>10954666.67</v>
      </c>
      <c r="F168" s="133"/>
      <c r="G168" s="133"/>
      <c r="H168" s="133"/>
      <c r="I168" s="133"/>
      <c r="J168" s="133"/>
      <c r="K168" s="133"/>
      <c r="L168" s="133">
        <v>8000000</v>
      </c>
      <c r="M168" s="133">
        <v>2954666.67</v>
      </c>
      <c r="N168" s="133">
        <v>0</v>
      </c>
      <c r="O168" s="133"/>
      <c r="P168" s="133"/>
      <c r="Q168" s="133">
        <v>10954666.67</v>
      </c>
      <c r="R168" s="133" t="s">
        <v>9881</v>
      </c>
    </row>
    <row r="169" s="98" customFormat="1" customHeight="1" spans="1:18">
      <c r="A169" s="106">
        <v>164</v>
      </c>
      <c r="B169" s="106" t="s">
        <v>10646</v>
      </c>
      <c r="C169" s="155" t="s">
        <v>10647</v>
      </c>
      <c r="D169" s="156" t="s">
        <v>10648</v>
      </c>
      <c r="E169" s="133">
        <v>9959857.69</v>
      </c>
      <c r="F169" s="133"/>
      <c r="G169" s="133"/>
      <c r="H169" s="133"/>
      <c r="I169" s="133"/>
      <c r="J169" s="133"/>
      <c r="K169" s="133"/>
      <c r="L169" s="133">
        <v>9205478</v>
      </c>
      <c r="M169" s="133">
        <v>754379.69</v>
      </c>
      <c r="N169" s="133"/>
      <c r="O169" s="133"/>
      <c r="P169" s="133"/>
      <c r="Q169" s="133">
        <v>9959857.69</v>
      </c>
      <c r="R169" s="133" t="s">
        <v>9881</v>
      </c>
    </row>
    <row r="170" s="98" customFormat="1" customHeight="1" spans="1:18">
      <c r="A170" s="106">
        <v>165</v>
      </c>
      <c r="B170" s="106" t="s">
        <v>10649</v>
      </c>
      <c r="C170" s="155" t="s">
        <v>10650</v>
      </c>
      <c r="D170" s="156" t="s">
        <v>10651</v>
      </c>
      <c r="E170" s="133">
        <v>31275693.57</v>
      </c>
      <c r="F170" s="133"/>
      <c r="G170" s="133"/>
      <c r="H170" s="133"/>
      <c r="I170" s="133"/>
      <c r="J170" s="133"/>
      <c r="K170" s="133"/>
      <c r="L170" s="133">
        <v>25450037</v>
      </c>
      <c r="M170" s="133">
        <v>5825656.57</v>
      </c>
      <c r="N170" s="133"/>
      <c r="O170" s="133"/>
      <c r="P170" s="133"/>
      <c r="Q170" s="133">
        <v>31275693.57</v>
      </c>
      <c r="R170" s="133" t="s">
        <v>9881</v>
      </c>
    </row>
    <row r="171" s="148" customFormat="1" customHeight="1" spans="1:18">
      <c r="A171" s="106">
        <v>166</v>
      </c>
      <c r="B171" s="106" t="s">
        <v>10652</v>
      </c>
      <c r="C171" s="155" t="s">
        <v>10653</v>
      </c>
      <c r="D171" s="156" t="s">
        <v>10654</v>
      </c>
      <c r="E171" s="133">
        <v>27013483.33</v>
      </c>
      <c r="F171" s="133"/>
      <c r="G171" s="133"/>
      <c r="H171" s="133"/>
      <c r="I171" s="133"/>
      <c r="J171" s="133"/>
      <c r="K171" s="133"/>
      <c r="L171" s="133">
        <v>17570000</v>
      </c>
      <c r="M171" s="133">
        <v>9443483.33</v>
      </c>
      <c r="N171" s="133"/>
      <c r="O171" s="133"/>
      <c r="P171" s="133"/>
      <c r="Q171" s="133">
        <v>27013483.33</v>
      </c>
      <c r="R171" s="133" t="s">
        <v>9881</v>
      </c>
    </row>
    <row r="172" s="148" customFormat="1" customHeight="1" spans="1:18">
      <c r="A172" s="106">
        <v>167</v>
      </c>
      <c r="B172" s="106" t="s">
        <v>10655</v>
      </c>
      <c r="C172" s="155" t="s">
        <v>10656</v>
      </c>
      <c r="D172" s="156" t="s">
        <v>10657</v>
      </c>
      <c r="E172" s="133">
        <v>1570613</v>
      </c>
      <c r="F172" s="133"/>
      <c r="G172" s="133"/>
      <c r="H172" s="133"/>
      <c r="I172" s="133"/>
      <c r="J172" s="133"/>
      <c r="K172" s="133"/>
      <c r="L172" s="133">
        <v>500000</v>
      </c>
      <c r="M172" s="133">
        <v>687983.31</v>
      </c>
      <c r="N172" s="133"/>
      <c r="O172" s="133"/>
      <c r="P172" s="133"/>
      <c r="Q172" s="133">
        <v>1187983.31</v>
      </c>
      <c r="R172" s="133" t="s">
        <v>9881</v>
      </c>
    </row>
    <row r="173" s="148" customFormat="1" customHeight="1" spans="1:18">
      <c r="A173" s="106">
        <v>168</v>
      </c>
      <c r="B173" s="106" t="s">
        <v>10658</v>
      </c>
      <c r="C173" s="155" t="s">
        <v>10659</v>
      </c>
      <c r="D173" s="156" t="s">
        <v>10660</v>
      </c>
      <c r="E173" s="133">
        <v>4598018.74</v>
      </c>
      <c r="F173" s="133"/>
      <c r="G173" s="133"/>
      <c r="H173" s="133"/>
      <c r="I173" s="133"/>
      <c r="J173" s="133"/>
      <c r="K173" s="133"/>
      <c r="L173" s="133">
        <v>1690000</v>
      </c>
      <c r="M173" s="133">
        <v>2441841.82</v>
      </c>
      <c r="N173" s="133"/>
      <c r="O173" s="133"/>
      <c r="P173" s="133"/>
      <c r="Q173" s="133">
        <v>4131841.82</v>
      </c>
      <c r="R173" s="133" t="s">
        <v>9881</v>
      </c>
    </row>
    <row r="174" s="148" customFormat="1" customHeight="1" spans="1:18">
      <c r="A174" s="106">
        <v>169</v>
      </c>
      <c r="B174" s="106" t="s">
        <v>10661</v>
      </c>
      <c r="C174" s="155" t="s">
        <v>10662</v>
      </c>
      <c r="D174" s="156" t="s">
        <v>10663</v>
      </c>
      <c r="E174" s="133">
        <v>1381800</v>
      </c>
      <c r="F174" s="133"/>
      <c r="G174" s="133"/>
      <c r="H174" s="133"/>
      <c r="I174" s="133"/>
      <c r="J174" s="133"/>
      <c r="K174" s="133"/>
      <c r="L174" s="133">
        <v>500000</v>
      </c>
      <c r="M174" s="133">
        <v>687983.31</v>
      </c>
      <c r="N174" s="133"/>
      <c r="O174" s="133"/>
      <c r="P174" s="133"/>
      <c r="Q174" s="133">
        <v>1187983.31</v>
      </c>
      <c r="R174" s="133" t="s">
        <v>9881</v>
      </c>
    </row>
    <row r="175" s="148" customFormat="1" customHeight="1" spans="1:18">
      <c r="A175" s="106">
        <v>170</v>
      </c>
      <c r="B175" s="106" t="s">
        <v>10664</v>
      </c>
      <c r="C175" s="155" t="s">
        <v>10665</v>
      </c>
      <c r="D175" s="156" t="s">
        <v>10666</v>
      </c>
      <c r="E175" s="133">
        <v>8109528.59</v>
      </c>
      <c r="F175" s="133"/>
      <c r="G175" s="133"/>
      <c r="H175" s="133"/>
      <c r="I175" s="133"/>
      <c r="J175" s="133"/>
      <c r="K175" s="133"/>
      <c r="L175" s="133">
        <v>2450000</v>
      </c>
      <c r="M175" s="133">
        <v>3629140.33</v>
      </c>
      <c r="N175" s="133"/>
      <c r="O175" s="133"/>
      <c r="P175" s="133"/>
      <c r="Q175" s="133">
        <v>6079140.33</v>
      </c>
      <c r="R175" s="133" t="s">
        <v>9881</v>
      </c>
    </row>
    <row r="176" s="148" customFormat="1" customHeight="1" spans="1:18">
      <c r="A176" s="106">
        <v>171</v>
      </c>
      <c r="B176" s="106" t="s">
        <v>10667</v>
      </c>
      <c r="C176" s="155" t="s">
        <v>10668</v>
      </c>
      <c r="D176" s="156" t="s">
        <v>10669</v>
      </c>
      <c r="E176" s="133">
        <v>1254400</v>
      </c>
      <c r="F176" s="133"/>
      <c r="G176" s="133"/>
      <c r="H176" s="133"/>
      <c r="I176" s="133"/>
      <c r="J176" s="133"/>
      <c r="K176" s="133"/>
      <c r="L176" s="133">
        <v>400000</v>
      </c>
      <c r="M176" s="133">
        <v>550386.69</v>
      </c>
      <c r="N176" s="133"/>
      <c r="O176" s="133"/>
      <c r="P176" s="133"/>
      <c r="Q176" s="133">
        <v>950386.69</v>
      </c>
      <c r="R176" s="133" t="s">
        <v>9881</v>
      </c>
    </row>
    <row r="177" s="148" customFormat="1" customHeight="1" spans="1:18">
      <c r="A177" s="106">
        <v>172</v>
      </c>
      <c r="B177" s="106" t="s">
        <v>10670</v>
      </c>
      <c r="C177" s="155" t="s">
        <v>10668</v>
      </c>
      <c r="D177" s="156" t="s">
        <v>10669</v>
      </c>
      <c r="E177" s="133">
        <v>1881600</v>
      </c>
      <c r="F177" s="133"/>
      <c r="G177" s="133"/>
      <c r="H177" s="133"/>
      <c r="I177" s="133"/>
      <c r="J177" s="133"/>
      <c r="K177" s="133"/>
      <c r="L177" s="133">
        <v>600000</v>
      </c>
      <c r="M177" s="133">
        <v>825579.99</v>
      </c>
      <c r="N177" s="133"/>
      <c r="O177" s="133"/>
      <c r="P177" s="133"/>
      <c r="Q177" s="133">
        <v>1425579.99</v>
      </c>
      <c r="R177" s="133" t="s">
        <v>9881</v>
      </c>
    </row>
    <row r="178" s="148" customFormat="1" customHeight="1" spans="1:18">
      <c r="A178" s="106">
        <v>173</v>
      </c>
      <c r="B178" s="106" t="s">
        <v>10671</v>
      </c>
      <c r="C178" s="155" t="s">
        <v>10672</v>
      </c>
      <c r="D178" s="156" t="s">
        <v>10673</v>
      </c>
      <c r="E178" s="133">
        <v>100000</v>
      </c>
      <c r="F178" s="133"/>
      <c r="G178" s="133"/>
      <c r="H178" s="133"/>
      <c r="I178" s="133"/>
      <c r="J178" s="133"/>
      <c r="K178" s="133"/>
      <c r="L178" s="133">
        <v>0</v>
      </c>
      <c r="M178" s="133">
        <v>85871</v>
      </c>
      <c r="N178" s="133"/>
      <c r="O178" s="133"/>
      <c r="P178" s="133"/>
      <c r="Q178" s="133">
        <v>85871</v>
      </c>
      <c r="R178" s="133" t="s">
        <v>9881</v>
      </c>
    </row>
    <row r="179" s="148" customFormat="1" customHeight="1" spans="1:18">
      <c r="A179" s="106">
        <v>174</v>
      </c>
      <c r="B179" s="106" t="s">
        <v>10674</v>
      </c>
      <c r="C179" s="155" t="s">
        <v>10675</v>
      </c>
      <c r="D179" s="156" t="s">
        <v>10676</v>
      </c>
      <c r="E179" s="133">
        <v>500000</v>
      </c>
      <c r="F179" s="133"/>
      <c r="G179" s="133"/>
      <c r="H179" s="133"/>
      <c r="I179" s="133"/>
      <c r="J179" s="133"/>
      <c r="K179" s="133"/>
      <c r="L179" s="133"/>
      <c r="M179" s="133"/>
      <c r="N179" s="133"/>
      <c r="O179" s="133"/>
      <c r="P179" s="133"/>
      <c r="Q179" s="133">
        <v>500000</v>
      </c>
      <c r="R179" s="133" t="s">
        <v>9881</v>
      </c>
    </row>
    <row r="180" s="148" customFormat="1" ht="26" customHeight="1" spans="1:18">
      <c r="A180" s="106">
        <v>175</v>
      </c>
      <c r="B180" s="106" t="s">
        <v>10677</v>
      </c>
      <c r="C180" s="155" t="s">
        <v>10678</v>
      </c>
      <c r="D180" s="156" t="s">
        <v>10679</v>
      </c>
      <c r="E180" s="133">
        <v>22048190</v>
      </c>
      <c r="F180" s="133"/>
      <c r="G180" s="133"/>
      <c r="H180" s="133"/>
      <c r="I180" s="133"/>
      <c r="J180" s="133"/>
      <c r="K180" s="133">
        <v>0</v>
      </c>
      <c r="L180" s="133"/>
      <c r="M180" s="133"/>
      <c r="N180" s="133"/>
      <c r="O180" s="133"/>
      <c r="P180" s="133"/>
      <c r="Q180" s="133"/>
      <c r="R180" s="133" t="s">
        <v>9808</v>
      </c>
    </row>
    <row r="181" s="148" customFormat="1" customHeight="1" spans="1:18">
      <c r="A181" s="106">
        <v>176</v>
      </c>
      <c r="B181" s="106" t="s">
        <v>10680</v>
      </c>
      <c r="C181" s="155" t="s">
        <v>10681</v>
      </c>
      <c r="D181" s="156" t="s">
        <v>10682</v>
      </c>
      <c r="E181" s="133">
        <v>1688909</v>
      </c>
      <c r="F181" s="133"/>
      <c r="G181" s="133"/>
      <c r="H181" s="133"/>
      <c r="I181" s="133"/>
      <c r="J181" s="133"/>
      <c r="K181" s="133"/>
      <c r="L181" s="133">
        <v>0</v>
      </c>
      <c r="M181" s="133">
        <v>696882.18</v>
      </c>
      <c r="N181" s="133"/>
      <c r="O181" s="133"/>
      <c r="P181" s="133"/>
      <c r="Q181" s="133">
        <v>696882.18</v>
      </c>
      <c r="R181" s="133" t="s">
        <v>9881</v>
      </c>
    </row>
    <row r="182" s="148" customFormat="1" customHeight="1" spans="1:18">
      <c r="A182" s="106">
        <v>177</v>
      </c>
      <c r="B182" s="106" t="s">
        <v>10683</v>
      </c>
      <c r="C182" s="155" t="s">
        <v>10684</v>
      </c>
      <c r="D182" s="156" t="s">
        <v>10265</v>
      </c>
      <c r="E182" s="133">
        <v>63456</v>
      </c>
      <c r="F182" s="133"/>
      <c r="G182" s="133"/>
      <c r="H182" s="133"/>
      <c r="I182" s="133"/>
      <c r="J182" s="133"/>
      <c r="K182" s="133"/>
      <c r="L182" s="133">
        <v>0</v>
      </c>
      <c r="M182" s="133">
        <v>63456</v>
      </c>
      <c r="N182" s="133"/>
      <c r="O182" s="133"/>
      <c r="P182" s="133"/>
      <c r="Q182" s="133">
        <v>63456</v>
      </c>
      <c r="R182" s="133" t="s">
        <v>9881</v>
      </c>
    </row>
    <row r="183" s="98" customFormat="1" ht="28" customHeight="1" spans="1:18">
      <c r="A183" s="106">
        <v>178</v>
      </c>
      <c r="B183" s="106" t="s">
        <v>10685</v>
      </c>
      <c r="C183" s="155" t="s">
        <v>10018</v>
      </c>
      <c r="D183" s="156" t="s">
        <v>10020</v>
      </c>
      <c r="E183" s="133">
        <v>30569337.87</v>
      </c>
      <c r="F183" s="133"/>
      <c r="G183" s="133"/>
      <c r="H183" s="133"/>
      <c r="I183" s="133"/>
      <c r="J183" s="133"/>
      <c r="K183" s="133">
        <v>0</v>
      </c>
      <c r="L183" s="133"/>
      <c r="M183" s="133"/>
      <c r="N183" s="133"/>
      <c r="O183" s="133"/>
      <c r="P183" s="133"/>
      <c r="Q183" s="133"/>
      <c r="R183" s="133" t="s">
        <v>9808</v>
      </c>
    </row>
    <row r="184" s="98" customFormat="1" customHeight="1" spans="1:18">
      <c r="A184" s="106">
        <v>179</v>
      </c>
      <c r="B184" s="106" t="s">
        <v>10686</v>
      </c>
      <c r="C184" s="155" t="s">
        <v>10687</v>
      </c>
      <c r="D184" s="115" t="s">
        <v>10688</v>
      </c>
      <c r="E184" s="133">
        <v>3227087.78</v>
      </c>
      <c r="F184" s="133"/>
      <c r="G184" s="133"/>
      <c r="H184" s="133"/>
      <c r="I184" s="133"/>
      <c r="J184" s="133"/>
      <c r="K184" s="133"/>
      <c r="L184" s="133">
        <v>1100000</v>
      </c>
      <c r="M184" s="133">
        <v>1381563.34</v>
      </c>
      <c r="N184" s="133"/>
      <c r="O184" s="133"/>
      <c r="P184" s="133"/>
      <c r="Q184" s="133">
        <v>2481563.34</v>
      </c>
      <c r="R184" s="133" t="s">
        <v>9881</v>
      </c>
    </row>
    <row r="185" s="98" customFormat="1" customHeight="1" spans="1:18">
      <c r="A185" s="106">
        <v>180</v>
      </c>
      <c r="B185" s="106" t="s">
        <v>10689</v>
      </c>
      <c r="C185" s="155" t="s">
        <v>10690</v>
      </c>
      <c r="D185" s="115" t="s">
        <v>10691</v>
      </c>
      <c r="E185" s="133">
        <v>1875027.29</v>
      </c>
      <c r="F185" s="133"/>
      <c r="G185" s="133"/>
      <c r="H185" s="133"/>
      <c r="I185" s="133"/>
      <c r="J185" s="133"/>
      <c r="K185" s="133"/>
      <c r="L185" s="133">
        <v>600000</v>
      </c>
      <c r="M185" s="133">
        <v>825579.99</v>
      </c>
      <c r="N185" s="133"/>
      <c r="O185" s="133"/>
      <c r="P185" s="133"/>
      <c r="Q185" s="133">
        <v>1425579.99</v>
      </c>
      <c r="R185" s="133" t="s">
        <v>9881</v>
      </c>
    </row>
    <row r="186" s="98" customFormat="1" customHeight="1" spans="1:18">
      <c r="A186" s="106">
        <v>181</v>
      </c>
      <c r="B186" s="106" t="s">
        <v>10692</v>
      </c>
      <c r="C186" s="155" t="s">
        <v>10693</v>
      </c>
      <c r="D186" s="156" t="s">
        <v>10694</v>
      </c>
      <c r="E186" s="133">
        <v>31591</v>
      </c>
      <c r="F186" s="133"/>
      <c r="G186" s="133"/>
      <c r="H186" s="133"/>
      <c r="I186" s="133"/>
      <c r="J186" s="133"/>
      <c r="K186" s="133"/>
      <c r="L186" s="133">
        <v>0</v>
      </c>
      <c r="M186" s="133">
        <v>31591</v>
      </c>
      <c r="N186" s="133"/>
      <c r="O186" s="133"/>
      <c r="P186" s="133"/>
      <c r="Q186" s="133">
        <v>31591</v>
      </c>
      <c r="R186" s="133" t="s">
        <v>9881</v>
      </c>
    </row>
    <row r="187" s="148" customFormat="1" customHeight="1" spans="1:18">
      <c r="A187" s="106">
        <v>182</v>
      </c>
      <c r="B187" s="106" t="s">
        <v>10695</v>
      </c>
      <c r="C187" s="155" t="s">
        <v>10696</v>
      </c>
      <c r="D187" s="156" t="s">
        <v>10697</v>
      </c>
      <c r="E187" s="133">
        <v>8270000</v>
      </c>
      <c r="F187" s="133"/>
      <c r="G187" s="133"/>
      <c r="H187" s="133"/>
      <c r="I187" s="133"/>
      <c r="J187" s="133"/>
      <c r="K187" s="133"/>
      <c r="L187" s="133">
        <v>1900000</v>
      </c>
      <c r="M187" s="133">
        <v>4262403.31</v>
      </c>
      <c r="N187" s="133"/>
      <c r="O187" s="133"/>
      <c r="P187" s="133"/>
      <c r="Q187" s="133">
        <v>6162403.31</v>
      </c>
      <c r="R187" s="133" t="s">
        <v>9881</v>
      </c>
    </row>
    <row r="188" s="148" customFormat="1" customHeight="1" spans="1:18">
      <c r="A188" s="106">
        <v>183</v>
      </c>
      <c r="B188" s="106" t="s">
        <v>10698</v>
      </c>
      <c r="C188" s="155" t="s">
        <v>268</v>
      </c>
      <c r="D188" s="156" t="s">
        <v>10699</v>
      </c>
      <c r="E188" s="133">
        <v>4071424</v>
      </c>
      <c r="F188" s="133"/>
      <c r="G188" s="133"/>
      <c r="H188" s="133"/>
      <c r="I188" s="133"/>
      <c r="J188" s="133"/>
      <c r="K188" s="133"/>
      <c r="L188" s="133">
        <v>1000000</v>
      </c>
      <c r="M188" s="133">
        <v>1389966.66</v>
      </c>
      <c r="N188" s="133"/>
      <c r="O188" s="133"/>
      <c r="P188" s="133"/>
      <c r="Q188" s="133">
        <v>2389966.66</v>
      </c>
      <c r="R188" s="133" t="s">
        <v>9881</v>
      </c>
    </row>
    <row r="189" s="98" customFormat="1" customHeight="1" spans="1:18">
      <c r="A189" s="106">
        <v>184</v>
      </c>
      <c r="B189" s="106" t="s">
        <v>10700</v>
      </c>
      <c r="C189" s="155" t="s">
        <v>10701</v>
      </c>
      <c r="D189" s="156" t="s">
        <v>10702</v>
      </c>
      <c r="E189" s="133">
        <v>2450132</v>
      </c>
      <c r="F189" s="133"/>
      <c r="G189" s="133"/>
      <c r="H189" s="133"/>
      <c r="I189" s="133"/>
      <c r="J189" s="133"/>
      <c r="K189" s="133"/>
      <c r="L189" s="133">
        <v>50000</v>
      </c>
      <c r="M189" s="133">
        <v>1039372.58</v>
      </c>
      <c r="N189" s="133"/>
      <c r="O189" s="133"/>
      <c r="P189" s="133"/>
      <c r="Q189" s="133">
        <v>1089372.58</v>
      </c>
      <c r="R189" s="133" t="s">
        <v>9881</v>
      </c>
    </row>
    <row r="190" s="98" customFormat="1" customHeight="1" spans="1:18">
      <c r="A190" s="106">
        <v>185</v>
      </c>
      <c r="B190" s="106" t="s">
        <v>10703</v>
      </c>
      <c r="C190" s="155" t="s">
        <v>10704</v>
      </c>
      <c r="D190" s="156" t="s">
        <v>10705</v>
      </c>
      <c r="E190" s="133">
        <v>1720446</v>
      </c>
      <c r="F190" s="133"/>
      <c r="G190" s="133"/>
      <c r="H190" s="133"/>
      <c r="I190" s="133"/>
      <c r="J190" s="133"/>
      <c r="K190" s="133"/>
      <c r="L190" s="133">
        <v>450000</v>
      </c>
      <c r="M190" s="133">
        <v>625485</v>
      </c>
      <c r="N190" s="133"/>
      <c r="O190" s="133"/>
      <c r="P190" s="133"/>
      <c r="Q190" s="133">
        <v>1075485</v>
      </c>
      <c r="R190" s="133" t="s">
        <v>9881</v>
      </c>
    </row>
    <row r="191" s="98" customFormat="1" ht="26" spans="1:18">
      <c r="A191" s="106">
        <v>186</v>
      </c>
      <c r="B191" s="106" t="s">
        <v>10706</v>
      </c>
      <c r="C191" s="155" t="s">
        <v>10216</v>
      </c>
      <c r="D191" s="115" t="s">
        <v>10217</v>
      </c>
      <c r="E191" s="133">
        <v>30990066.67</v>
      </c>
      <c r="F191" s="133">
        <v>12000000</v>
      </c>
      <c r="G191" s="133">
        <v>18502066.7</v>
      </c>
      <c r="H191" s="133"/>
      <c r="I191" s="133"/>
      <c r="J191" s="133"/>
      <c r="K191" s="133">
        <v>30502066.7</v>
      </c>
      <c r="L191" s="133"/>
      <c r="M191" s="133"/>
      <c r="N191" s="133"/>
      <c r="O191" s="133"/>
      <c r="P191" s="133"/>
      <c r="Q191" s="133"/>
      <c r="R191" s="133" t="s">
        <v>9759</v>
      </c>
    </row>
  </sheetData>
  <sortState ref="B21:BJ25">
    <sortCondition ref="B21:B25"/>
  </sortState>
  <mergeCells count="8">
    <mergeCell ref="B2:R2"/>
    <mergeCell ref="C4:D4"/>
    <mergeCell ref="F4:K4"/>
    <mergeCell ref="L4:Q4"/>
    <mergeCell ref="A4:A5"/>
    <mergeCell ref="B4:B5"/>
    <mergeCell ref="E4:E5"/>
    <mergeCell ref="R4:R5"/>
  </mergeCells>
  <conditionalFormatting sqref="B169:B191">
    <cfRule type="duplicateValues" dxfId="1" priority="1"/>
  </conditionalFormatting>
  <conditionalFormatting sqref="B4:B38 B40:B146 B192:B1048576">
    <cfRule type="duplicateValues" dxfId="1" priority="3"/>
  </conditionalFormatting>
  <conditionalFormatting sqref="B39 B147:B166">
    <cfRule type="duplicateValues" dxfId="1" priority="2"/>
  </conditionalFormatting>
  <pageMargins left="0.472222222222222" right="0.275" top="0.747916666666667" bottom="0.511805555555556" header="0.5" footer="0.275"/>
  <pageSetup paperSize="9" scale="60" fitToHeight="0" orientation="landscape" horizontalDpi="600"/>
  <headerFooter>
    <oddFooter>&amp;L其他债权申报及确认明细表&amp;C第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1"/>
  <sheetViews>
    <sheetView workbookViewId="0">
      <selection activeCell="A1" sqref="A1"/>
    </sheetView>
  </sheetViews>
  <sheetFormatPr defaultColWidth="8.72727272727273" defaultRowHeight="18" customHeight="1"/>
  <cols>
    <col min="1" max="1" width="5.18181818181818" style="96" customWidth="1"/>
    <col min="2" max="2" width="7.72727272727273" style="148" customWidth="1"/>
    <col min="3" max="3" width="20.5363636363636" style="149" customWidth="1"/>
    <col min="4" max="4" width="12.9090909090909" style="98" customWidth="1"/>
    <col min="5" max="5" width="16" style="101" customWidth="1"/>
    <col min="6" max="7" width="15.1818181818182" style="101" customWidth="1"/>
    <col min="8" max="8" width="12.3636363636364" style="101" customWidth="1"/>
    <col min="9" max="9" width="15.1818181818182" style="101" customWidth="1"/>
    <col min="10" max="10" width="14.6363636363636" style="101" customWidth="1"/>
    <col min="11" max="11" width="13.5545454545455" style="101" customWidth="1"/>
    <col min="12" max="12" width="12.3636363636364" style="101" customWidth="1"/>
    <col min="13" max="13" width="9.72727272727273" style="101" customWidth="1"/>
    <col min="14" max="14" width="14.6363636363636" style="101" customWidth="1"/>
    <col min="15" max="15" width="8.27272727272727" style="100" customWidth="1"/>
    <col min="16" max="16" width="7.09090909090909" style="96" customWidth="1"/>
    <col min="17" max="17" width="14.2727272727273" style="101" customWidth="1"/>
    <col min="18" max="18" width="16.7272727272727" style="101" customWidth="1"/>
    <col min="19" max="19" width="15.0909090909091" style="101" customWidth="1"/>
    <col min="20" max="16384" width="8.72727272727273" style="96"/>
  </cols>
  <sheetData>
    <row r="1" customHeight="1" spans="1:1">
      <c r="A1" s="146" t="s">
        <v>10707</v>
      </c>
    </row>
    <row r="2" customHeight="1" spans="1:15">
      <c r="A2" s="103" t="s">
        <v>10708</v>
      </c>
      <c r="B2" s="103"/>
      <c r="C2" s="103"/>
      <c r="D2" s="103"/>
      <c r="E2" s="103"/>
      <c r="F2" s="103"/>
      <c r="G2" s="103"/>
      <c r="H2" s="103"/>
      <c r="I2" s="103"/>
      <c r="J2" s="103"/>
      <c r="K2" s="103"/>
      <c r="L2" s="103"/>
      <c r="M2" s="103"/>
      <c r="N2" s="103"/>
      <c r="O2" s="103"/>
    </row>
    <row r="4" s="146" customFormat="1" ht="24" customHeight="1" spans="1:19">
      <c r="A4" s="150" t="s">
        <v>9867</v>
      </c>
      <c r="B4" s="151" t="s">
        <v>9868</v>
      </c>
      <c r="C4" s="50" t="s">
        <v>9869</v>
      </c>
      <c r="D4" s="150"/>
      <c r="E4" s="152" t="s">
        <v>10162</v>
      </c>
      <c r="F4" s="153"/>
      <c r="G4" s="153"/>
      <c r="H4" s="153"/>
      <c r="I4" s="157"/>
      <c r="J4" s="124" t="s">
        <v>9742</v>
      </c>
      <c r="K4" s="124"/>
      <c r="L4" s="124"/>
      <c r="M4" s="124"/>
      <c r="N4" s="124"/>
      <c r="O4" s="89" t="s">
        <v>9743</v>
      </c>
      <c r="P4" s="147"/>
      <c r="Q4" s="158"/>
      <c r="R4" s="159"/>
      <c r="S4" s="159"/>
    </row>
    <row r="5" s="147" customFormat="1" ht="26" customHeight="1" spans="1:19">
      <c r="A5" s="150"/>
      <c r="B5" s="154"/>
      <c r="C5" s="50" t="s">
        <v>9872</v>
      </c>
      <c r="D5" s="150" t="s">
        <v>9874</v>
      </c>
      <c r="E5" s="126" t="s">
        <v>9751</v>
      </c>
      <c r="F5" s="126" t="s">
        <v>10165</v>
      </c>
      <c r="G5" s="126" t="s">
        <v>9753</v>
      </c>
      <c r="H5" s="47" t="s">
        <v>10166</v>
      </c>
      <c r="I5" s="126" t="s">
        <v>9754</v>
      </c>
      <c r="J5" s="89" t="s">
        <v>9751</v>
      </c>
      <c r="K5" s="89" t="s">
        <v>9752</v>
      </c>
      <c r="L5" s="89" t="s">
        <v>9753</v>
      </c>
      <c r="M5" s="89" t="s">
        <v>28</v>
      </c>
      <c r="N5" s="89" t="s">
        <v>9754</v>
      </c>
      <c r="O5" s="89"/>
      <c r="Q5" s="160"/>
      <c r="R5" s="158"/>
      <c r="S5" s="158"/>
    </row>
    <row r="6" s="93" customFormat="1" ht="38" customHeight="1" spans="1:20">
      <c r="A6" s="106">
        <v>1</v>
      </c>
      <c r="B6" s="106" t="s">
        <v>10709</v>
      </c>
      <c r="C6" s="155" t="s">
        <v>10710</v>
      </c>
      <c r="D6" s="156" t="s">
        <v>10711</v>
      </c>
      <c r="E6" s="134">
        <v>4533432.62</v>
      </c>
      <c r="F6" s="134">
        <v>11263499.1</v>
      </c>
      <c r="G6" s="134">
        <v>1978375</v>
      </c>
      <c r="H6" s="134"/>
      <c r="I6" s="134">
        <v>17775306.72</v>
      </c>
      <c r="J6" s="134">
        <v>4533432.62</v>
      </c>
      <c r="K6" s="134">
        <v>11263499.1</v>
      </c>
      <c r="L6" s="134">
        <v>1978375</v>
      </c>
      <c r="M6" s="134"/>
      <c r="N6" s="134">
        <v>17775306.72</v>
      </c>
      <c r="O6" s="133" t="s">
        <v>9759</v>
      </c>
      <c r="P6" s="96"/>
      <c r="Q6" s="101"/>
      <c r="R6" s="101"/>
      <c r="S6" s="101"/>
      <c r="T6" s="96"/>
    </row>
    <row r="7" s="93" customFormat="1" ht="38" customHeight="1" spans="1:20">
      <c r="A7" s="106">
        <v>2</v>
      </c>
      <c r="B7" s="106" t="s">
        <v>10712</v>
      </c>
      <c r="C7" s="155" t="s">
        <v>10710</v>
      </c>
      <c r="D7" s="156" t="s">
        <v>10711</v>
      </c>
      <c r="E7" s="134">
        <v>11500000</v>
      </c>
      <c r="F7" s="134">
        <v>9893194.44</v>
      </c>
      <c r="G7" s="134">
        <v>2529712.5</v>
      </c>
      <c r="H7" s="134">
        <v>62406</v>
      </c>
      <c r="I7" s="134">
        <v>23985312.94</v>
      </c>
      <c r="J7" s="134">
        <v>11500000</v>
      </c>
      <c r="K7" s="134">
        <v>9888642.36</v>
      </c>
      <c r="L7" s="134">
        <v>2521662.5</v>
      </c>
      <c r="M7" s="134">
        <v>62406</v>
      </c>
      <c r="N7" s="134">
        <v>23972710.86</v>
      </c>
      <c r="O7" s="133" t="s">
        <v>9759</v>
      </c>
      <c r="P7" s="96"/>
      <c r="Q7" s="101"/>
      <c r="R7" s="101"/>
      <c r="S7" s="101"/>
      <c r="T7" s="96"/>
    </row>
    <row r="8" s="93" customFormat="1" ht="38" customHeight="1" spans="1:20">
      <c r="A8" s="106">
        <v>3</v>
      </c>
      <c r="B8" s="61"/>
      <c r="C8" s="155" t="s">
        <v>10713</v>
      </c>
      <c r="D8" s="115" t="s">
        <v>10714</v>
      </c>
      <c r="E8" s="134">
        <v>2000000</v>
      </c>
      <c r="F8" s="134">
        <v>41315.07</v>
      </c>
      <c r="G8" s="134"/>
      <c r="H8" s="134"/>
      <c r="I8" s="134">
        <v>2041315.07</v>
      </c>
      <c r="J8" s="134">
        <v>2000000</v>
      </c>
      <c r="K8" s="134">
        <v>41315.07</v>
      </c>
      <c r="L8" s="134"/>
      <c r="M8" s="134"/>
      <c r="N8" s="134">
        <v>2041315.07</v>
      </c>
      <c r="O8" s="133" t="s">
        <v>9759</v>
      </c>
      <c r="P8" s="96"/>
      <c r="Q8" s="101"/>
      <c r="R8" s="101"/>
      <c r="S8" s="101"/>
      <c r="T8" s="96"/>
    </row>
    <row r="9" s="93" customFormat="1" ht="38" customHeight="1" spans="1:20">
      <c r="A9" s="106">
        <v>4</v>
      </c>
      <c r="B9" s="61"/>
      <c r="C9" s="155" t="s">
        <v>10715</v>
      </c>
      <c r="D9" s="115" t="s">
        <v>10714</v>
      </c>
      <c r="E9" s="134">
        <v>30000000</v>
      </c>
      <c r="F9" s="134"/>
      <c r="G9" s="134"/>
      <c r="H9" s="134"/>
      <c r="I9" s="134">
        <v>30000000</v>
      </c>
      <c r="J9" s="134">
        <v>30000000</v>
      </c>
      <c r="K9" s="134"/>
      <c r="L9" s="134"/>
      <c r="M9" s="134"/>
      <c r="N9" s="134">
        <v>30000000</v>
      </c>
      <c r="O9" s="133" t="s">
        <v>9759</v>
      </c>
      <c r="P9" s="96"/>
      <c r="Q9" s="101"/>
      <c r="R9" s="101"/>
      <c r="S9" s="101"/>
      <c r="T9" s="96"/>
    </row>
    <row r="10" s="93" customFormat="1" ht="38" customHeight="1" spans="1:20">
      <c r="A10" s="106">
        <v>5</v>
      </c>
      <c r="B10" s="61"/>
      <c r="C10" s="155" t="s">
        <v>10713</v>
      </c>
      <c r="D10" s="115" t="s">
        <v>10714</v>
      </c>
      <c r="E10" s="134">
        <v>51856108.96</v>
      </c>
      <c r="F10" s="134">
        <v>707782.67</v>
      </c>
      <c r="G10" s="134"/>
      <c r="H10" s="134"/>
      <c r="I10" s="134">
        <v>52563891.63</v>
      </c>
      <c r="J10" s="134">
        <v>51856108.96</v>
      </c>
      <c r="K10" s="134">
        <v>707782.67</v>
      </c>
      <c r="L10" s="134"/>
      <c r="M10" s="134"/>
      <c r="N10" s="134">
        <v>52563891.63</v>
      </c>
      <c r="O10" s="133" t="s">
        <v>9759</v>
      </c>
      <c r="P10" s="96"/>
      <c r="Q10" s="101"/>
      <c r="R10" s="101"/>
      <c r="S10" s="101"/>
      <c r="T10" s="96"/>
    </row>
    <row r="11" s="93" customFormat="1" ht="38" customHeight="1" spans="1:19">
      <c r="A11" s="106">
        <v>6</v>
      </c>
      <c r="B11" s="61"/>
      <c r="C11" s="155" t="s">
        <v>10716</v>
      </c>
      <c r="D11" s="156" t="s">
        <v>10717</v>
      </c>
      <c r="E11" s="134">
        <v>245468079.3</v>
      </c>
      <c r="F11" s="134"/>
      <c r="G11" s="134"/>
      <c r="H11" s="134"/>
      <c r="I11" s="134">
        <v>245468079.3</v>
      </c>
      <c r="J11" s="134">
        <v>245468079.3</v>
      </c>
      <c r="K11" s="134"/>
      <c r="L11" s="134"/>
      <c r="M11" s="134"/>
      <c r="N11" s="134">
        <v>245468079.3</v>
      </c>
      <c r="O11" s="133" t="s">
        <v>9759</v>
      </c>
      <c r="P11" s="96"/>
      <c r="Q11" s="96"/>
      <c r="R11" s="101"/>
      <c r="S11" s="101"/>
    </row>
  </sheetData>
  <mergeCells count="7">
    <mergeCell ref="A2:O2"/>
    <mergeCell ref="C4:D4"/>
    <mergeCell ref="E4:I4"/>
    <mergeCell ref="J4:N4"/>
    <mergeCell ref="A4:A5"/>
    <mergeCell ref="B4:B5"/>
    <mergeCell ref="O4:O5"/>
  </mergeCells>
  <conditionalFormatting sqref="B4:B7 B12:B1048576">
    <cfRule type="duplicateValues" dxfId="1" priority="5"/>
  </conditionalFormatting>
  <pageMargins left="0.511805555555556" right="0.275" top="1" bottom="1" header="0.5" footer="0.5"/>
  <pageSetup paperSize="9" scale="66" fitToHeight="0" orientation="landscape" horizontalDpi="600"/>
  <headerFooter>
    <oddFooter>&amp;C第 &amp;P 页，共 &amp;N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79"/>
  <sheetViews>
    <sheetView workbookViewId="0">
      <pane xSplit="2" ySplit="5" topLeftCell="C76" activePane="bottomRight" state="frozen"/>
      <selection/>
      <selection pane="topRight"/>
      <selection pane="bottomLeft"/>
      <selection pane="bottomRight" activeCell="E79" sqref="E79"/>
    </sheetView>
  </sheetViews>
  <sheetFormatPr defaultColWidth="8.72727272727273" defaultRowHeight="18" customHeight="1"/>
  <cols>
    <col min="1" max="1" width="5.18181818181818" style="96" customWidth="1"/>
    <col min="2" max="2" width="7.90909090909091" style="98" customWidth="1"/>
    <col min="3" max="3" width="10.8181818181818" style="98" customWidth="1"/>
    <col min="4" max="4" width="20.8181818181818" style="99" customWidth="1"/>
    <col min="5" max="5" width="12.3636363636364" style="98" customWidth="1"/>
    <col min="6" max="6" width="9.63636363636364" style="59" customWidth="1"/>
    <col min="7" max="7" width="6.53636363636364" style="96" customWidth="1"/>
    <col min="8" max="8" width="8" style="96" customWidth="1"/>
    <col min="9" max="9" width="14" style="100" customWidth="1"/>
    <col min="10" max="13" width="12.8181818181818" style="101" customWidth="1"/>
    <col min="14" max="14" width="12.3636363636364" style="101" customWidth="1"/>
    <col min="15" max="15" width="12.8181818181818" style="100" customWidth="1"/>
    <col min="16" max="16" width="5.72727272727273" style="102" customWidth="1"/>
    <col min="17" max="17" width="6.53636363636364" style="96" customWidth="1"/>
    <col min="18" max="18" width="12.8181818181818" style="96" customWidth="1"/>
    <col min="19" max="19" width="6.81818181818182" style="96" customWidth="1"/>
    <col min="20" max="20" width="12.8181818181818" style="96"/>
    <col min="21" max="16384" width="8.72727272727273" style="96"/>
  </cols>
  <sheetData>
    <row r="1" customHeight="1" spans="1:1">
      <c r="A1" s="96" t="s">
        <v>10718</v>
      </c>
    </row>
    <row r="2" ht="25" customHeight="1" spans="1:15">
      <c r="A2" s="103" t="s">
        <v>10719</v>
      </c>
      <c r="B2" s="103"/>
      <c r="C2" s="103"/>
      <c r="D2" s="103"/>
      <c r="E2" s="103"/>
      <c r="F2" s="103"/>
      <c r="G2" s="103"/>
      <c r="H2" s="103"/>
      <c r="I2" s="103"/>
      <c r="J2" s="103"/>
      <c r="K2" s="103"/>
      <c r="L2" s="103"/>
      <c r="M2" s="103"/>
      <c r="N2" s="103"/>
      <c r="O2" s="103"/>
    </row>
    <row r="3" customHeight="1" spans="14:14">
      <c r="N3" s="100" t="s">
        <v>10720</v>
      </c>
    </row>
    <row r="4" customHeight="1" spans="1:15">
      <c r="A4" s="50" t="s">
        <v>9867</v>
      </c>
      <c r="B4" s="50" t="s">
        <v>0</v>
      </c>
      <c r="C4" s="50" t="s">
        <v>1</v>
      </c>
      <c r="D4" s="104" t="s">
        <v>2</v>
      </c>
      <c r="E4" s="50" t="s">
        <v>2633</v>
      </c>
      <c r="F4" s="50" t="s">
        <v>10721</v>
      </c>
      <c r="G4" s="50" t="s">
        <v>9</v>
      </c>
      <c r="H4" s="105" t="s">
        <v>10722</v>
      </c>
      <c r="I4" s="47" t="s">
        <v>9748</v>
      </c>
      <c r="J4" s="124" t="s">
        <v>10723</v>
      </c>
      <c r="K4" s="124"/>
      <c r="L4" s="124"/>
      <c r="M4" s="124"/>
      <c r="N4" s="124"/>
      <c r="O4" s="125" t="s">
        <v>9743</v>
      </c>
    </row>
    <row r="5" s="91" customFormat="1" customHeight="1" spans="1:16">
      <c r="A5" s="50"/>
      <c r="B5" s="50"/>
      <c r="C5" s="50"/>
      <c r="D5" s="104"/>
      <c r="E5" s="50"/>
      <c r="F5" s="50"/>
      <c r="G5" s="50"/>
      <c r="H5" s="105"/>
      <c r="I5" s="47"/>
      <c r="J5" s="126" t="s">
        <v>9751</v>
      </c>
      <c r="K5" s="126" t="s">
        <v>9752</v>
      </c>
      <c r="L5" s="126" t="s">
        <v>10724</v>
      </c>
      <c r="M5" s="126" t="s">
        <v>10725</v>
      </c>
      <c r="N5" s="126" t="s">
        <v>9754</v>
      </c>
      <c r="O5" s="127"/>
      <c r="P5" s="128"/>
    </row>
    <row r="6" s="92" customFormat="1" ht="24" customHeight="1" spans="1:16">
      <c r="A6" s="106">
        <v>1</v>
      </c>
      <c r="B6" s="107" t="s">
        <v>10726</v>
      </c>
      <c r="C6" s="107" t="s">
        <v>9805</v>
      </c>
      <c r="D6" s="108" t="s">
        <v>10727</v>
      </c>
      <c r="E6" s="106" t="s">
        <v>10728</v>
      </c>
      <c r="F6" s="109" t="s">
        <v>10729</v>
      </c>
      <c r="G6" s="106" t="s">
        <v>10730</v>
      </c>
      <c r="H6" s="110">
        <v>578570</v>
      </c>
      <c r="I6" s="129">
        <v>753113</v>
      </c>
      <c r="J6" s="130">
        <v>578570</v>
      </c>
      <c r="K6" s="130">
        <v>161421.03</v>
      </c>
      <c r="L6" s="130">
        <v>29058.68</v>
      </c>
      <c r="M6" s="130">
        <v>5259</v>
      </c>
      <c r="N6" s="130">
        <v>774308.71</v>
      </c>
      <c r="O6" s="129" t="s">
        <v>9759</v>
      </c>
      <c r="P6" s="131"/>
    </row>
    <row r="7" s="92" customFormat="1" customHeight="1" spans="1:16">
      <c r="A7" s="106">
        <v>2</v>
      </c>
      <c r="B7" s="106" t="s">
        <v>10731</v>
      </c>
      <c r="C7" s="111" t="s">
        <v>10732</v>
      </c>
      <c r="D7" s="112" t="s">
        <v>10733</v>
      </c>
      <c r="E7" s="113" t="s">
        <v>10734</v>
      </c>
      <c r="F7" s="113" t="s">
        <v>10735</v>
      </c>
      <c r="G7" s="113">
        <v>8.53</v>
      </c>
      <c r="H7" s="113">
        <v>217439</v>
      </c>
      <c r="I7" s="129">
        <v>219720</v>
      </c>
      <c r="J7" s="130">
        <v>217439</v>
      </c>
      <c r="K7" s="130">
        <v>19603.92</v>
      </c>
      <c r="L7" s="130">
        <v>1940.64</v>
      </c>
      <c r="M7" s="130">
        <v>2281</v>
      </c>
      <c r="N7" s="130">
        <v>241264.56</v>
      </c>
      <c r="O7" s="129" t="s">
        <v>9759</v>
      </c>
      <c r="P7" s="131"/>
    </row>
    <row r="8" s="92" customFormat="1" customHeight="1" spans="1:16">
      <c r="A8" s="106">
        <v>3</v>
      </c>
      <c r="B8" s="106" t="s">
        <v>10736</v>
      </c>
      <c r="C8" s="111" t="s">
        <v>10737</v>
      </c>
      <c r="D8" s="112" t="s">
        <v>10738</v>
      </c>
      <c r="E8" s="113" t="s">
        <v>10739</v>
      </c>
      <c r="F8" s="113" t="s">
        <v>10735</v>
      </c>
      <c r="G8" s="113">
        <v>21.68</v>
      </c>
      <c r="H8" s="114">
        <v>690000</v>
      </c>
      <c r="I8" s="129">
        <v>357062</v>
      </c>
      <c r="J8" s="130">
        <v>353759</v>
      </c>
      <c r="K8" s="130">
        <v>31425.59</v>
      </c>
      <c r="L8" s="130">
        <v>742.89</v>
      </c>
      <c r="M8" s="130">
        <v>3303</v>
      </c>
      <c r="N8" s="130">
        <v>389230.48</v>
      </c>
      <c r="O8" s="129" t="s">
        <v>9759</v>
      </c>
      <c r="P8" s="131"/>
    </row>
    <row r="9" s="92" customFormat="1" customHeight="1" spans="1:16">
      <c r="A9" s="106">
        <v>4</v>
      </c>
      <c r="B9" s="115" t="s">
        <v>10740</v>
      </c>
      <c r="C9" s="111" t="s">
        <v>10741</v>
      </c>
      <c r="D9" s="112" t="s">
        <v>10742</v>
      </c>
      <c r="E9" s="113" t="s">
        <v>10743</v>
      </c>
      <c r="F9" s="113" t="s">
        <v>10735</v>
      </c>
      <c r="G9" s="116">
        <v>12.65</v>
      </c>
      <c r="H9" s="113">
        <v>335898</v>
      </c>
      <c r="I9" s="132">
        <v>175898</v>
      </c>
      <c r="J9" s="133">
        <v>175898</v>
      </c>
      <c r="K9" s="133">
        <v>6531.63</v>
      </c>
      <c r="L9" s="133"/>
      <c r="M9" s="133">
        <v>1909</v>
      </c>
      <c r="N9" s="133">
        <v>184338.63</v>
      </c>
      <c r="O9" s="133" t="s">
        <v>9759</v>
      </c>
      <c r="P9" s="131"/>
    </row>
    <row r="10" s="92" customFormat="1" customHeight="1" spans="1:16">
      <c r="A10" s="106">
        <v>5</v>
      </c>
      <c r="B10" s="106" t="s">
        <v>10744</v>
      </c>
      <c r="C10" s="107" t="s">
        <v>10745</v>
      </c>
      <c r="D10" s="108" t="s">
        <v>10746</v>
      </c>
      <c r="E10" s="106" t="s">
        <v>10747</v>
      </c>
      <c r="F10" s="109" t="s">
        <v>10735</v>
      </c>
      <c r="G10" s="117">
        <v>29.98</v>
      </c>
      <c r="H10" s="114">
        <v>847972</v>
      </c>
      <c r="I10" s="129">
        <v>447972</v>
      </c>
      <c r="J10" s="130"/>
      <c r="K10" s="130"/>
      <c r="L10" s="130"/>
      <c r="M10" s="130"/>
      <c r="N10" s="130"/>
      <c r="O10" s="129" t="s">
        <v>9881</v>
      </c>
      <c r="P10" s="131"/>
    </row>
    <row r="11" s="92" customFormat="1" customHeight="1" spans="1:16">
      <c r="A11" s="106">
        <v>6</v>
      </c>
      <c r="B11" s="106" t="s">
        <v>10748</v>
      </c>
      <c r="C11" s="107" t="s">
        <v>10749</v>
      </c>
      <c r="D11" s="108" t="s">
        <v>10750</v>
      </c>
      <c r="E11" s="106">
        <v>1218</v>
      </c>
      <c r="F11" s="106" t="s">
        <v>10751</v>
      </c>
      <c r="G11" s="117">
        <v>69.11</v>
      </c>
      <c r="H11" s="114">
        <v>598601</v>
      </c>
      <c r="I11" s="129">
        <v>248949</v>
      </c>
      <c r="J11" s="134">
        <v>208601</v>
      </c>
      <c r="K11" s="134">
        <v>37333</v>
      </c>
      <c r="L11" s="134">
        <v>0</v>
      </c>
      <c r="M11" s="134">
        <v>3015</v>
      </c>
      <c r="N11" s="134">
        <v>248949</v>
      </c>
      <c r="O11" s="133" t="s">
        <v>9759</v>
      </c>
      <c r="P11" s="131"/>
    </row>
    <row r="12" s="92" customFormat="1" customHeight="1" spans="1:16">
      <c r="A12" s="106">
        <v>7</v>
      </c>
      <c r="B12" s="106" t="s">
        <v>10752</v>
      </c>
      <c r="C12" s="107" t="s">
        <v>10003</v>
      </c>
      <c r="D12" s="108" t="s">
        <v>10753</v>
      </c>
      <c r="E12" s="106">
        <v>716</v>
      </c>
      <c r="F12" s="106" t="s">
        <v>10751</v>
      </c>
      <c r="G12" s="117">
        <v>67.42</v>
      </c>
      <c r="H12" s="114">
        <v>580007</v>
      </c>
      <c r="I12" s="129">
        <v>576749</v>
      </c>
      <c r="J12" s="134">
        <v>484939</v>
      </c>
      <c r="K12" s="134">
        <v>83370.86</v>
      </c>
      <c r="L12" s="134"/>
      <c r="M12" s="134">
        <v>2894</v>
      </c>
      <c r="N12" s="134">
        <v>571203.86</v>
      </c>
      <c r="O12" s="133" t="s">
        <v>9759</v>
      </c>
      <c r="P12" s="131"/>
    </row>
    <row r="13" s="92" customFormat="1" customHeight="1" spans="1:16">
      <c r="A13" s="106">
        <v>8</v>
      </c>
      <c r="B13" s="106" t="s">
        <v>10754</v>
      </c>
      <c r="C13" s="107" t="s">
        <v>193</v>
      </c>
      <c r="D13" s="108" t="s">
        <v>10755</v>
      </c>
      <c r="E13" s="106">
        <v>1015</v>
      </c>
      <c r="F13" s="106" t="s">
        <v>10751</v>
      </c>
      <c r="G13" s="117">
        <v>49.74</v>
      </c>
      <c r="H13" s="114">
        <v>443681</v>
      </c>
      <c r="I13" s="129">
        <v>400890</v>
      </c>
      <c r="J13" s="132">
        <v>0</v>
      </c>
      <c r="K13" s="132">
        <v>0</v>
      </c>
      <c r="L13" s="132"/>
      <c r="M13" s="132"/>
      <c r="N13" s="132">
        <v>0</v>
      </c>
      <c r="O13" s="133" t="s">
        <v>9808</v>
      </c>
      <c r="P13" s="131"/>
    </row>
    <row r="14" s="92" customFormat="1" customHeight="1" spans="1:16">
      <c r="A14" s="106">
        <v>9</v>
      </c>
      <c r="B14" s="106" t="s">
        <v>10756</v>
      </c>
      <c r="C14" s="107" t="s">
        <v>10757</v>
      </c>
      <c r="D14" s="108" t="s">
        <v>10758</v>
      </c>
      <c r="E14" s="106" t="s">
        <v>10759</v>
      </c>
      <c r="F14" s="106" t="s">
        <v>10735</v>
      </c>
      <c r="G14" s="117">
        <v>27.12</v>
      </c>
      <c r="H14" s="114">
        <v>578066</v>
      </c>
      <c r="I14" s="129">
        <v>358836</v>
      </c>
      <c r="J14" s="134">
        <v>285066</v>
      </c>
      <c r="K14" s="134">
        <v>22379.31</v>
      </c>
      <c r="L14" s="134">
        <v>34061.49</v>
      </c>
      <c r="M14" s="134">
        <v>3041</v>
      </c>
      <c r="N14" s="134">
        <v>344547.8</v>
      </c>
      <c r="O14" s="133" t="s">
        <v>9759</v>
      </c>
      <c r="P14" s="131"/>
    </row>
    <row r="15" s="92" customFormat="1" customHeight="1" spans="1:16">
      <c r="A15" s="106">
        <v>10</v>
      </c>
      <c r="B15" s="106" t="s">
        <v>10760</v>
      </c>
      <c r="C15" s="107" t="s">
        <v>10761</v>
      </c>
      <c r="D15" s="108" t="s">
        <v>10762</v>
      </c>
      <c r="E15" s="106" t="s">
        <v>10763</v>
      </c>
      <c r="F15" s="109" t="s">
        <v>10735</v>
      </c>
      <c r="G15" s="117">
        <v>22.19</v>
      </c>
      <c r="H15" s="114">
        <v>453670</v>
      </c>
      <c r="I15" s="129">
        <v>263213.21</v>
      </c>
      <c r="J15" s="134">
        <v>215147</v>
      </c>
      <c r="K15" s="134">
        <v>19471.99</v>
      </c>
      <c r="L15" s="134">
        <v>26374.09</v>
      </c>
      <c r="M15" s="134">
        <v>3352</v>
      </c>
      <c r="N15" s="134">
        <v>264345.08</v>
      </c>
      <c r="O15" s="133" t="s">
        <v>9759</v>
      </c>
      <c r="P15" s="131"/>
    </row>
    <row r="16" s="92" customFormat="1" customHeight="1" spans="1:16">
      <c r="A16" s="106">
        <v>11</v>
      </c>
      <c r="B16" s="106" t="s">
        <v>10764</v>
      </c>
      <c r="C16" s="107" t="s">
        <v>10765</v>
      </c>
      <c r="D16" s="108" t="s">
        <v>10766</v>
      </c>
      <c r="E16" s="106" t="s">
        <v>10767</v>
      </c>
      <c r="F16" s="109" t="s">
        <v>10735</v>
      </c>
      <c r="G16" s="117"/>
      <c r="H16" s="114">
        <v>412689</v>
      </c>
      <c r="I16" s="129">
        <v>58214.6</v>
      </c>
      <c r="J16" s="134">
        <v>40000</v>
      </c>
      <c r="K16" s="134">
        <v>5733.33</v>
      </c>
      <c r="L16" s="134"/>
      <c r="M16" s="134">
        <v>6653</v>
      </c>
      <c r="N16" s="134">
        <v>52386.33</v>
      </c>
      <c r="O16" s="133" t="s">
        <v>9759</v>
      </c>
      <c r="P16" s="131"/>
    </row>
    <row r="17" s="92" customFormat="1" ht="28" customHeight="1" spans="1:16">
      <c r="A17" s="106">
        <v>12</v>
      </c>
      <c r="B17" s="106" t="s">
        <v>10768</v>
      </c>
      <c r="C17" s="107" t="s">
        <v>10769</v>
      </c>
      <c r="D17" s="108" t="s">
        <v>10770</v>
      </c>
      <c r="E17" s="106">
        <v>1634</v>
      </c>
      <c r="F17" s="106" t="s">
        <v>10751</v>
      </c>
      <c r="G17" s="117">
        <v>55.51</v>
      </c>
      <c r="H17" s="114">
        <v>609342</v>
      </c>
      <c r="I17" s="129">
        <v>719507</v>
      </c>
      <c r="J17" s="134">
        <v>510000</v>
      </c>
      <c r="K17" s="134"/>
      <c r="L17" s="134">
        <v>99735</v>
      </c>
      <c r="M17" s="134">
        <v>4957</v>
      </c>
      <c r="N17" s="134">
        <v>614692</v>
      </c>
      <c r="O17" s="133" t="s">
        <v>9759</v>
      </c>
      <c r="P17" s="131"/>
    </row>
    <row r="18" s="92" customFormat="1" ht="28" customHeight="1" spans="1:16">
      <c r="A18" s="106">
        <v>13</v>
      </c>
      <c r="B18" s="106" t="s">
        <v>10771</v>
      </c>
      <c r="C18" s="107" t="s">
        <v>10772</v>
      </c>
      <c r="D18" s="108" t="s">
        <v>10773</v>
      </c>
      <c r="E18" s="106">
        <v>3219</v>
      </c>
      <c r="F18" s="106" t="s">
        <v>10735</v>
      </c>
      <c r="G18" s="117">
        <v>14.5</v>
      </c>
      <c r="H18" s="114">
        <v>362883</v>
      </c>
      <c r="I18" s="129">
        <v>212191.73</v>
      </c>
      <c r="J18" s="134">
        <v>164594.7</v>
      </c>
      <c r="K18" s="134">
        <v>23835.68</v>
      </c>
      <c r="L18" s="134"/>
      <c r="M18" s="134"/>
      <c r="N18" s="134">
        <v>188430.38</v>
      </c>
      <c r="O18" s="133" t="s">
        <v>9759</v>
      </c>
      <c r="P18" s="131"/>
    </row>
    <row r="19" s="92" customFormat="1" customHeight="1" spans="1:16">
      <c r="A19" s="106">
        <v>14</v>
      </c>
      <c r="B19" s="106" t="s">
        <v>10774</v>
      </c>
      <c r="C19" s="107" t="s">
        <v>10656</v>
      </c>
      <c r="D19" s="108" t="s">
        <v>10775</v>
      </c>
      <c r="E19" s="106" t="s">
        <v>10776</v>
      </c>
      <c r="F19" s="109" t="s">
        <v>10735</v>
      </c>
      <c r="G19" s="117">
        <v>13.83</v>
      </c>
      <c r="H19" s="114">
        <v>343164</v>
      </c>
      <c r="I19" s="129">
        <v>175046</v>
      </c>
      <c r="J19" s="134">
        <v>155847.6</v>
      </c>
      <c r="K19" s="134">
        <v>0</v>
      </c>
      <c r="L19" s="134"/>
      <c r="M19" s="134">
        <v>1882</v>
      </c>
      <c r="N19" s="134">
        <v>157729.6</v>
      </c>
      <c r="O19" s="133" t="s">
        <v>9759</v>
      </c>
      <c r="P19" s="135"/>
    </row>
    <row r="20" s="92" customFormat="1" customHeight="1" spans="1:16">
      <c r="A20" s="106">
        <v>15</v>
      </c>
      <c r="B20" s="106" t="s">
        <v>10777</v>
      </c>
      <c r="C20" s="107" t="s">
        <v>10778</v>
      </c>
      <c r="D20" s="108" t="s">
        <v>10779</v>
      </c>
      <c r="E20" s="106" t="s">
        <v>10780</v>
      </c>
      <c r="F20" s="109" t="s">
        <v>10735</v>
      </c>
      <c r="G20" s="117">
        <v>11.49</v>
      </c>
      <c r="H20" s="114">
        <v>464000</v>
      </c>
      <c r="I20" s="129">
        <v>255167.5</v>
      </c>
      <c r="J20" s="134">
        <v>210600</v>
      </c>
      <c r="K20" s="134">
        <v>42162.5</v>
      </c>
      <c r="L20" s="134"/>
      <c r="M20" s="134">
        <v>2405</v>
      </c>
      <c r="N20" s="134">
        <v>255167.5</v>
      </c>
      <c r="O20" s="133" t="s">
        <v>9759</v>
      </c>
      <c r="P20" s="135"/>
    </row>
    <row r="21" s="92" customFormat="1" customHeight="1" spans="1:16">
      <c r="A21" s="106">
        <v>16</v>
      </c>
      <c r="B21" s="106" t="s">
        <v>10781</v>
      </c>
      <c r="C21" s="107" t="s">
        <v>10782</v>
      </c>
      <c r="D21" s="108" t="s">
        <v>10783</v>
      </c>
      <c r="E21" s="106">
        <v>807</v>
      </c>
      <c r="F21" s="106" t="s">
        <v>10751</v>
      </c>
      <c r="G21" s="117">
        <v>86.33</v>
      </c>
      <c r="H21" s="114">
        <v>1656703</v>
      </c>
      <c r="I21" s="129">
        <v>535367.38</v>
      </c>
      <c r="J21" s="134">
        <v>512394</v>
      </c>
      <c r="K21" s="134">
        <v>22973.381</v>
      </c>
      <c r="L21" s="134"/>
      <c r="M21" s="134"/>
      <c r="N21" s="134">
        <v>535367.381</v>
      </c>
      <c r="O21" s="133" t="s">
        <v>9759</v>
      </c>
      <c r="P21" s="135"/>
    </row>
    <row r="22" s="92" customFormat="1" customHeight="1" spans="1:16">
      <c r="A22" s="106">
        <v>17</v>
      </c>
      <c r="B22" s="106" t="s">
        <v>10784</v>
      </c>
      <c r="C22" s="107" t="s">
        <v>10785</v>
      </c>
      <c r="D22" s="108" t="s">
        <v>10786</v>
      </c>
      <c r="E22" s="106" t="s">
        <v>10787</v>
      </c>
      <c r="F22" s="109" t="s">
        <v>10735</v>
      </c>
      <c r="G22" s="117">
        <v>33.55</v>
      </c>
      <c r="H22" s="114">
        <v>921772</v>
      </c>
      <c r="I22" s="129">
        <v>1039300.28</v>
      </c>
      <c r="J22" s="134">
        <v>921772</v>
      </c>
      <c r="K22" s="134">
        <v>111029.28</v>
      </c>
      <c r="L22" s="134"/>
      <c r="M22" s="134">
        <v>6499</v>
      </c>
      <c r="N22" s="134">
        <v>1039300.28</v>
      </c>
      <c r="O22" s="133" t="s">
        <v>9759</v>
      </c>
      <c r="P22" s="135"/>
    </row>
    <row r="23" s="92" customFormat="1" customHeight="1" spans="1:16">
      <c r="A23" s="106">
        <v>18</v>
      </c>
      <c r="B23" s="106" t="s">
        <v>10788</v>
      </c>
      <c r="C23" s="107" t="s">
        <v>10789</v>
      </c>
      <c r="D23" s="108" t="s">
        <v>10790</v>
      </c>
      <c r="E23" s="106" t="s">
        <v>10791</v>
      </c>
      <c r="F23" s="109" t="s">
        <v>10735</v>
      </c>
      <c r="G23" s="117">
        <v>17.76</v>
      </c>
      <c r="H23" s="114">
        <v>856259</v>
      </c>
      <c r="I23" s="129">
        <v>479039.36</v>
      </c>
      <c r="J23" s="134">
        <v>392633.1</v>
      </c>
      <c r="K23" s="134">
        <v>85288.63</v>
      </c>
      <c r="L23" s="134">
        <v>0</v>
      </c>
      <c r="M23" s="134">
        <v>4181</v>
      </c>
      <c r="N23" s="134">
        <v>482102.73</v>
      </c>
      <c r="O23" s="133" t="s">
        <v>9759</v>
      </c>
      <c r="P23" s="135"/>
    </row>
    <row r="24" s="92" customFormat="1" customHeight="1" spans="1:16">
      <c r="A24" s="106">
        <v>19</v>
      </c>
      <c r="B24" s="106" t="s">
        <v>10792</v>
      </c>
      <c r="C24" s="107" t="s">
        <v>10793</v>
      </c>
      <c r="D24" s="108" t="s">
        <v>10794</v>
      </c>
      <c r="E24" s="106"/>
      <c r="F24" s="109" t="s">
        <v>10729</v>
      </c>
      <c r="G24" s="117"/>
      <c r="H24" s="114"/>
      <c r="I24" s="129">
        <v>1334768.3424</v>
      </c>
      <c r="J24" s="134">
        <v>907776</v>
      </c>
      <c r="K24" s="134">
        <v>266341.48</v>
      </c>
      <c r="L24" s="134">
        <v>109137.37</v>
      </c>
      <c r="M24" s="134">
        <v>5285</v>
      </c>
      <c r="N24" s="134">
        <v>1288539.85</v>
      </c>
      <c r="O24" s="133" t="s">
        <v>9759</v>
      </c>
      <c r="P24" s="135"/>
    </row>
    <row r="25" s="92" customFormat="1" customHeight="1" spans="1:16">
      <c r="A25" s="106">
        <v>20</v>
      </c>
      <c r="B25" s="106" t="s">
        <v>10795</v>
      </c>
      <c r="C25" s="107" t="s">
        <v>474</v>
      </c>
      <c r="D25" s="108" t="s">
        <v>10796</v>
      </c>
      <c r="E25" s="106">
        <v>3101</v>
      </c>
      <c r="F25" s="106" t="s">
        <v>10751</v>
      </c>
      <c r="G25" s="117">
        <v>149.28</v>
      </c>
      <c r="H25" s="114">
        <v>1359941</v>
      </c>
      <c r="I25" s="129">
        <v>668429.02</v>
      </c>
      <c r="J25" s="134"/>
      <c r="K25" s="134"/>
      <c r="L25" s="134"/>
      <c r="M25" s="134"/>
      <c r="N25" s="134">
        <v>0</v>
      </c>
      <c r="O25" s="133" t="s">
        <v>9808</v>
      </c>
      <c r="P25" s="135"/>
    </row>
    <row r="26" s="92" customFormat="1" customHeight="1" spans="1:16">
      <c r="A26" s="106">
        <v>21</v>
      </c>
      <c r="B26" s="106" t="s">
        <v>10797</v>
      </c>
      <c r="C26" s="107" t="s">
        <v>10798</v>
      </c>
      <c r="D26" s="108" t="s">
        <v>10799</v>
      </c>
      <c r="E26" s="106">
        <v>427</v>
      </c>
      <c r="F26" s="106" t="s">
        <v>10735</v>
      </c>
      <c r="G26" s="117">
        <v>38.28</v>
      </c>
      <c r="H26" s="114"/>
      <c r="I26" s="129">
        <v>518442.3</v>
      </c>
      <c r="J26" s="134">
        <v>487588</v>
      </c>
      <c r="K26" s="134">
        <v>23152.3</v>
      </c>
      <c r="L26" s="134">
        <v>0</v>
      </c>
      <c r="M26" s="134">
        <v>7702</v>
      </c>
      <c r="N26" s="134">
        <v>518442.3</v>
      </c>
      <c r="O26" s="133" t="s">
        <v>9759</v>
      </c>
      <c r="P26" s="135"/>
    </row>
    <row r="27" s="92" customFormat="1" customHeight="1" spans="1:16">
      <c r="A27" s="106">
        <v>22</v>
      </c>
      <c r="B27" s="106" t="s">
        <v>10800</v>
      </c>
      <c r="C27" s="107" t="s">
        <v>10801</v>
      </c>
      <c r="D27" s="108" t="s">
        <v>10802</v>
      </c>
      <c r="E27" s="106" t="s">
        <v>10803</v>
      </c>
      <c r="F27" s="109" t="s">
        <v>10735</v>
      </c>
      <c r="G27" s="117">
        <v>16.15</v>
      </c>
      <c r="H27" s="114"/>
      <c r="I27" s="129">
        <v>250783.66</v>
      </c>
      <c r="J27" s="134">
        <v>236480</v>
      </c>
      <c r="K27" s="134">
        <v>11734.66</v>
      </c>
      <c r="L27" s="134">
        <v>0</v>
      </c>
      <c r="M27" s="134">
        <v>2569</v>
      </c>
      <c r="N27" s="134">
        <v>250783.66</v>
      </c>
      <c r="O27" s="133" t="s">
        <v>9759</v>
      </c>
      <c r="P27" s="135"/>
    </row>
    <row r="28" s="92" customFormat="1" customHeight="1" spans="1:16">
      <c r="A28" s="106">
        <v>23</v>
      </c>
      <c r="B28" s="106" t="s">
        <v>10804</v>
      </c>
      <c r="C28" s="107" t="s">
        <v>10805</v>
      </c>
      <c r="D28" s="108" t="s">
        <v>10806</v>
      </c>
      <c r="E28" s="106" t="s">
        <v>10807</v>
      </c>
      <c r="F28" s="109" t="s">
        <v>10735</v>
      </c>
      <c r="G28" s="117" t="s">
        <v>10808</v>
      </c>
      <c r="H28" s="114">
        <v>425528</v>
      </c>
      <c r="I28" s="129">
        <v>115528</v>
      </c>
      <c r="J28" s="134">
        <v>115528</v>
      </c>
      <c r="K28" s="134">
        <v>0</v>
      </c>
      <c r="L28" s="134">
        <v>0</v>
      </c>
      <c r="M28" s="134">
        <v>0</v>
      </c>
      <c r="N28" s="134">
        <v>115528</v>
      </c>
      <c r="O28" s="133" t="s">
        <v>9759</v>
      </c>
      <c r="P28" s="135"/>
    </row>
    <row r="29" s="92" customFormat="1" customHeight="1" spans="1:20">
      <c r="A29" s="106">
        <v>24</v>
      </c>
      <c r="B29" s="106" t="s">
        <v>10809</v>
      </c>
      <c r="C29" s="107" t="s">
        <v>10810</v>
      </c>
      <c r="D29" s="108" t="s">
        <v>10811</v>
      </c>
      <c r="E29" s="106" t="s">
        <v>10812</v>
      </c>
      <c r="F29" s="109" t="s">
        <v>10735</v>
      </c>
      <c r="G29" s="117">
        <v>14.3</v>
      </c>
      <c r="H29" s="114">
        <v>455162</v>
      </c>
      <c r="I29" s="129">
        <v>242102</v>
      </c>
      <c r="J29" s="134">
        <v>235162</v>
      </c>
      <c r="K29" s="134">
        <v>4526</v>
      </c>
      <c r="L29" s="134">
        <v>0</v>
      </c>
      <c r="M29" s="134">
        <v>2414</v>
      </c>
      <c r="N29" s="134">
        <v>242102</v>
      </c>
      <c r="O29" s="133" t="s">
        <v>9759</v>
      </c>
      <c r="P29" s="136"/>
      <c r="Q29" s="93"/>
      <c r="R29" s="93"/>
      <c r="S29" s="93"/>
      <c r="T29" s="93"/>
    </row>
    <row r="30" s="92" customFormat="1" customHeight="1" spans="1:15">
      <c r="A30" s="106">
        <v>25</v>
      </c>
      <c r="B30" s="106" t="s">
        <v>10813</v>
      </c>
      <c r="C30" s="107" t="s">
        <v>10814</v>
      </c>
      <c r="D30" s="108" t="s">
        <v>10815</v>
      </c>
      <c r="E30" s="106" t="s">
        <v>10816</v>
      </c>
      <c r="F30" s="109" t="s">
        <v>10735</v>
      </c>
      <c r="G30" s="117">
        <v>13.28</v>
      </c>
      <c r="H30" s="114">
        <v>360596</v>
      </c>
      <c r="I30" s="129">
        <v>198775</v>
      </c>
      <c r="J30" s="134">
        <v>180596</v>
      </c>
      <c r="K30" s="134">
        <v>16223</v>
      </c>
      <c r="L30" s="134"/>
      <c r="M30" s="134">
        <v>1956</v>
      </c>
      <c r="N30" s="134">
        <v>198775</v>
      </c>
      <c r="O30" s="133" t="s">
        <v>9759</v>
      </c>
    </row>
    <row r="31" s="92" customFormat="1" customHeight="1" spans="1:15">
      <c r="A31" s="106">
        <v>26</v>
      </c>
      <c r="B31" s="106" t="s">
        <v>10817</v>
      </c>
      <c r="C31" s="107" t="s">
        <v>10818</v>
      </c>
      <c r="D31" s="108" t="s">
        <v>10819</v>
      </c>
      <c r="E31" s="106">
        <v>4238</v>
      </c>
      <c r="F31" s="106" t="s">
        <v>10735</v>
      </c>
      <c r="G31" s="117">
        <v>27.23</v>
      </c>
      <c r="H31" s="114">
        <v>377506</v>
      </c>
      <c r="I31" s="129">
        <v>217373</v>
      </c>
      <c r="J31" s="134">
        <v>197506</v>
      </c>
      <c r="K31" s="134">
        <v>17742</v>
      </c>
      <c r="L31" s="134"/>
      <c r="M31" s="134">
        <v>2125</v>
      </c>
      <c r="N31" s="134">
        <v>217373</v>
      </c>
      <c r="O31" s="133" t="s">
        <v>9759</v>
      </c>
    </row>
    <row r="32" s="92" customFormat="1" customHeight="1" spans="1:15">
      <c r="A32" s="106">
        <v>27</v>
      </c>
      <c r="B32" s="106" t="s">
        <v>10820</v>
      </c>
      <c r="C32" s="107" t="s">
        <v>10821</v>
      </c>
      <c r="D32" s="108" t="s">
        <v>10822</v>
      </c>
      <c r="E32" s="106" t="s">
        <v>10823</v>
      </c>
      <c r="F32" s="109" t="s">
        <v>10735</v>
      </c>
      <c r="G32" s="117">
        <v>9.2</v>
      </c>
      <c r="H32" s="114">
        <v>248984</v>
      </c>
      <c r="I32" s="129">
        <v>78984</v>
      </c>
      <c r="J32" s="134">
        <v>78984</v>
      </c>
      <c r="K32" s="134"/>
      <c r="L32" s="134"/>
      <c r="M32" s="134"/>
      <c r="N32" s="134">
        <v>78984</v>
      </c>
      <c r="O32" s="137" t="s">
        <v>9759</v>
      </c>
    </row>
    <row r="33" s="92" customFormat="1" customHeight="1" spans="1:15">
      <c r="A33" s="106">
        <v>28</v>
      </c>
      <c r="B33" s="106" t="s">
        <v>10824</v>
      </c>
      <c r="C33" s="107" t="s">
        <v>10825</v>
      </c>
      <c r="D33" s="108" t="s">
        <v>10826</v>
      </c>
      <c r="E33" s="106">
        <v>1576</v>
      </c>
      <c r="F33" s="106" t="s">
        <v>10735</v>
      </c>
      <c r="G33" s="117">
        <v>20.92</v>
      </c>
      <c r="H33" s="114">
        <v>993923</v>
      </c>
      <c r="I33" s="129">
        <v>704820.6</v>
      </c>
      <c r="J33" s="134">
        <v>562126.98</v>
      </c>
      <c r="K33" s="134">
        <v>126722.93</v>
      </c>
      <c r="L33" s="134">
        <v>99.39</v>
      </c>
      <c r="M33" s="134">
        <v>13835.19</v>
      </c>
      <c r="N33" s="134">
        <v>702784.49</v>
      </c>
      <c r="O33" s="133" t="s">
        <v>9759</v>
      </c>
    </row>
    <row r="34" s="92" customFormat="1" customHeight="1" spans="1:15">
      <c r="A34" s="106">
        <v>29</v>
      </c>
      <c r="B34" s="106" t="s">
        <v>10827</v>
      </c>
      <c r="C34" s="107" t="s">
        <v>10828</v>
      </c>
      <c r="D34" s="108" t="s">
        <v>10829</v>
      </c>
      <c r="E34" s="106" t="s">
        <v>10830</v>
      </c>
      <c r="F34" s="109" t="s">
        <v>10735</v>
      </c>
      <c r="G34" s="117">
        <v>20.86</v>
      </c>
      <c r="H34" s="114">
        <v>596485</v>
      </c>
      <c r="I34" s="129">
        <v>328580.075965753</v>
      </c>
      <c r="J34" s="134">
        <v>306485</v>
      </c>
      <c r="K34" s="134">
        <v>19146.08</v>
      </c>
      <c r="L34" s="134"/>
      <c r="M34" s="134">
        <v>2949</v>
      </c>
      <c r="N34" s="134">
        <v>328580.08</v>
      </c>
      <c r="O34" s="133" t="s">
        <v>9759</v>
      </c>
    </row>
    <row r="35" s="92" customFormat="1" customHeight="1" spans="1:20">
      <c r="A35" s="106">
        <v>30</v>
      </c>
      <c r="B35" s="106" t="s">
        <v>10831</v>
      </c>
      <c r="C35" s="107" t="s">
        <v>10832</v>
      </c>
      <c r="D35" s="108" t="s">
        <v>10833</v>
      </c>
      <c r="E35" s="106" t="s">
        <v>10834</v>
      </c>
      <c r="F35" s="109" t="s">
        <v>10735</v>
      </c>
      <c r="G35" s="117">
        <v>21</v>
      </c>
      <c r="H35" s="114">
        <v>1010941</v>
      </c>
      <c r="I35" s="129">
        <v>804432.35</v>
      </c>
      <c r="J35" s="130">
        <v>710941</v>
      </c>
      <c r="K35" s="130">
        <v>88148.35</v>
      </c>
      <c r="L35" s="130"/>
      <c r="M35" s="130">
        <v>5343</v>
      </c>
      <c r="N35" s="130">
        <v>804432.35</v>
      </c>
      <c r="O35" s="129" t="s">
        <v>9759</v>
      </c>
      <c r="P35" s="136"/>
      <c r="Q35" s="93"/>
      <c r="R35" s="93"/>
      <c r="S35" s="93"/>
      <c r="T35" s="93"/>
    </row>
    <row r="36" s="92" customFormat="1" customHeight="1" spans="1:20">
      <c r="A36" s="106">
        <v>31</v>
      </c>
      <c r="B36" s="106" t="s">
        <v>10835</v>
      </c>
      <c r="C36" s="107" t="s">
        <v>10836</v>
      </c>
      <c r="D36" s="108" t="s">
        <v>10837</v>
      </c>
      <c r="E36" s="106" t="s">
        <v>10838</v>
      </c>
      <c r="F36" s="109" t="s">
        <v>10735</v>
      </c>
      <c r="G36" s="117">
        <v>21.69</v>
      </c>
      <c r="H36" s="114">
        <v>1060000</v>
      </c>
      <c r="I36" s="129">
        <v>340000</v>
      </c>
      <c r="J36" s="130">
        <v>330000</v>
      </c>
      <c r="K36" s="130"/>
      <c r="L36" s="130"/>
      <c r="M36" s="130"/>
      <c r="N36" s="130">
        <v>330000</v>
      </c>
      <c r="O36" s="129" t="s">
        <v>9759</v>
      </c>
      <c r="P36" s="136"/>
      <c r="Q36" s="93"/>
      <c r="R36" s="93"/>
      <c r="S36" s="93"/>
      <c r="T36" s="93"/>
    </row>
    <row r="37" s="92" customFormat="1" ht="25" customHeight="1" spans="1:20">
      <c r="A37" s="106">
        <v>32</v>
      </c>
      <c r="B37" s="106" t="s">
        <v>10839</v>
      </c>
      <c r="C37" s="107" t="s">
        <v>10840</v>
      </c>
      <c r="D37" s="108" t="s">
        <v>10841</v>
      </c>
      <c r="E37" s="106" t="s">
        <v>10842</v>
      </c>
      <c r="F37" s="109" t="s">
        <v>10735</v>
      </c>
      <c r="G37" s="117">
        <v>25.93</v>
      </c>
      <c r="H37" s="114">
        <v>1164192</v>
      </c>
      <c r="I37" s="129">
        <v>588924</v>
      </c>
      <c r="J37" s="130">
        <v>584192</v>
      </c>
      <c r="K37" s="130">
        <v>426.3134</v>
      </c>
      <c r="L37" s="130"/>
      <c r="M37" s="130"/>
      <c r="N37" s="130">
        <v>584618.3134</v>
      </c>
      <c r="O37" s="129" t="s">
        <v>9759</v>
      </c>
      <c r="P37" s="136"/>
      <c r="Q37" s="93"/>
      <c r="R37" s="93"/>
      <c r="S37" s="93"/>
      <c r="T37" s="93"/>
    </row>
    <row r="38" s="92" customFormat="1" customHeight="1" spans="1:20">
      <c r="A38" s="106">
        <v>33</v>
      </c>
      <c r="B38" s="106" t="s">
        <v>10843</v>
      </c>
      <c r="C38" s="107" t="s">
        <v>10844</v>
      </c>
      <c r="D38" s="108" t="s">
        <v>10845</v>
      </c>
      <c r="E38" s="106">
        <v>2132</v>
      </c>
      <c r="F38" s="106" t="s">
        <v>10751</v>
      </c>
      <c r="G38" s="117">
        <v>55.78</v>
      </c>
      <c r="H38" s="114">
        <v>585690</v>
      </c>
      <c r="I38" s="129">
        <v>490320</v>
      </c>
      <c r="J38" s="130">
        <v>286320</v>
      </c>
      <c r="K38" s="130"/>
      <c r="L38" s="130"/>
      <c r="M38" s="130"/>
      <c r="N38" s="130">
        <v>286320</v>
      </c>
      <c r="O38" s="129" t="s">
        <v>9759</v>
      </c>
      <c r="P38" s="136"/>
      <c r="Q38" s="93"/>
      <c r="R38" s="93"/>
      <c r="S38" s="93"/>
      <c r="T38" s="93"/>
    </row>
    <row r="39" s="92" customFormat="1" customHeight="1" spans="1:20">
      <c r="A39" s="106">
        <v>34</v>
      </c>
      <c r="B39" s="106" t="s">
        <v>10846</v>
      </c>
      <c r="C39" s="107" t="s">
        <v>10847</v>
      </c>
      <c r="D39" s="108" t="s">
        <v>10845</v>
      </c>
      <c r="E39" s="106">
        <v>2825</v>
      </c>
      <c r="F39" s="106" t="s">
        <v>10751</v>
      </c>
      <c r="G39" s="117">
        <v>66.94</v>
      </c>
      <c r="H39" s="114">
        <v>669400</v>
      </c>
      <c r="I39" s="129">
        <v>388166</v>
      </c>
      <c r="J39" s="130">
        <v>370300</v>
      </c>
      <c r="K39" s="130"/>
      <c r="L39" s="130"/>
      <c r="M39" s="130"/>
      <c r="N39" s="130">
        <v>370300</v>
      </c>
      <c r="O39" s="129" t="s">
        <v>9759</v>
      </c>
      <c r="P39" s="136"/>
      <c r="Q39" s="93"/>
      <c r="R39" s="93"/>
      <c r="S39" s="93"/>
      <c r="T39" s="93"/>
    </row>
    <row r="40" s="92" customFormat="1" customHeight="1" spans="1:20">
      <c r="A40" s="106">
        <v>35</v>
      </c>
      <c r="B40" s="106" t="s">
        <v>10848</v>
      </c>
      <c r="C40" s="107" t="s">
        <v>10849</v>
      </c>
      <c r="D40" s="108" t="s">
        <v>10845</v>
      </c>
      <c r="E40" s="106" t="s">
        <v>10850</v>
      </c>
      <c r="F40" s="109" t="s">
        <v>10735</v>
      </c>
      <c r="G40" s="117">
        <v>20.1</v>
      </c>
      <c r="H40" s="114">
        <v>1086202</v>
      </c>
      <c r="I40" s="129">
        <v>583836.63</v>
      </c>
      <c r="J40" s="130">
        <v>548255</v>
      </c>
      <c r="K40" s="130">
        <v>27205.63</v>
      </c>
      <c r="L40" s="130"/>
      <c r="M40" s="130">
        <v>8376</v>
      </c>
      <c r="N40" s="130">
        <v>583836.63</v>
      </c>
      <c r="O40" s="129" t="s">
        <v>9759</v>
      </c>
      <c r="P40" s="136"/>
      <c r="Q40" s="93"/>
      <c r="R40" s="93"/>
      <c r="S40" s="93"/>
      <c r="T40" s="93"/>
    </row>
    <row r="41" s="92" customFormat="1" customHeight="1" spans="1:20">
      <c r="A41" s="106">
        <v>36</v>
      </c>
      <c r="B41" s="106" t="s">
        <v>10851</v>
      </c>
      <c r="C41" s="107" t="s">
        <v>10852</v>
      </c>
      <c r="D41" s="108" t="s">
        <v>10845</v>
      </c>
      <c r="E41" s="106" t="s">
        <v>10853</v>
      </c>
      <c r="F41" s="109" t="s">
        <v>10735</v>
      </c>
      <c r="G41" s="117">
        <v>31.8</v>
      </c>
      <c r="H41" s="114">
        <v>650234</v>
      </c>
      <c r="I41" s="129">
        <v>341881</v>
      </c>
      <c r="J41" s="130">
        <v>330234</v>
      </c>
      <c r="K41" s="130">
        <v>8520</v>
      </c>
      <c r="L41" s="130"/>
      <c r="M41" s="130">
        <v>3127</v>
      </c>
      <c r="N41" s="130">
        <v>341881</v>
      </c>
      <c r="O41" s="129" t="s">
        <v>9759</v>
      </c>
      <c r="P41" s="136"/>
      <c r="Q41" s="93"/>
      <c r="R41" s="93"/>
      <c r="S41" s="93"/>
      <c r="T41" s="93"/>
    </row>
    <row r="42" s="92" customFormat="1" customHeight="1" spans="1:20">
      <c r="A42" s="106">
        <v>37</v>
      </c>
      <c r="B42" s="106" t="s">
        <v>10854</v>
      </c>
      <c r="C42" s="107" t="s">
        <v>10855</v>
      </c>
      <c r="D42" s="108" t="s">
        <v>10845</v>
      </c>
      <c r="E42" s="106" t="s">
        <v>10856</v>
      </c>
      <c r="F42" s="109" t="s">
        <v>10735</v>
      </c>
      <c r="G42" s="117">
        <v>13.87</v>
      </c>
      <c r="H42" s="114">
        <v>366800</v>
      </c>
      <c r="I42" s="129">
        <v>206078.32</v>
      </c>
      <c r="J42" s="130">
        <v>186800</v>
      </c>
      <c r="K42" s="130">
        <v>13784.2833</v>
      </c>
      <c r="L42" s="130"/>
      <c r="M42" s="130">
        <v>2018</v>
      </c>
      <c r="N42" s="130">
        <v>202602.2833</v>
      </c>
      <c r="O42" s="129" t="s">
        <v>9759</v>
      </c>
      <c r="P42" s="136"/>
      <c r="Q42" s="93"/>
      <c r="R42" s="93"/>
      <c r="S42" s="93"/>
      <c r="T42" s="93"/>
    </row>
    <row r="43" s="92" customFormat="1" customHeight="1" spans="1:20">
      <c r="A43" s="106">
        <v>38</v>
      </c>
      <c r="B43" s="106" t="s">
        <v>10857</v>
      </c>
      <c r="C43" s="107" t="s">
        <v>10858</v>
      </c>
      <c r="D43" s="108" t="s">
        <v>10845</v>
      </c>
      <c r="E43" s="106" t="s">
        <v>10859</v>
      </c>
      <c r="F43" s="109" t="s">
        <v>10735</v>
      </c>
      <c r="G43" s="117">
        <v>14.7</v>
      </c>
      <c r="H43" s="114">
        <v>476221</v>
      </c>
      <c r="I43" s="129">
        <v>279073.97</v>
      </c>
      <c r="J43" s="130">
        <v>246221</v>
      </c>
      <c r="K43" s="130">
        <v>13508.3</v>
      </c>
      <c r="L43" s="130">
        <v>16847.67</v>
      </c>
      <c r="M43" s="130">
        <v>2497</v>
      </c>
      <c r="N43" s="130">
        <v>279073.97</v>
      </c>
      <c r="O43" s="138" t="s">
        <v>9759</v>
      </c>
      <c r="P43" s="136"/>
      <c r="Q43" s="93"/>
      <c r="R43" s="93"/>
      <c r="S43" s="93"/>
      <c r="T43" s="93"/>
    </row>
    <row r="44" s="93" customFormat="1" customHeight="1" spans="1:16">
      <c r="A44" s="106">
        <v>39</v>
      </c>
      <c r="B44" s="106" t="s">
        <v>10860</v>
      </c>
      <c r="C44" s="107" t="s">
        <v>10861</v>
      </c>
      <c r="D44" s="108" t="s">
        <v>10862</v>
      </c>
      <c r="E44" s="110" t="s">
        <v>10863</v>
      </c>
      <c r="F44" s="118" t="s">
        <v>10735</v>
      </c>
      <c r="G44" s="106">
        <v>17.86</v>
      </c>
      <c r="H44" s="114">
        <v>728646</v>
      </c>
      <c r="I44" s="129">
        <v>269200.4763</v>
      </c>
      <c r="J44" s="130">
        <v>242161.79</v>
      </c>
      <c r="K44" s="130">
        <v>16521.67</v>
      </c>
      <c r="L44" s="130">
        <v>7267.89</v>
      </c>
      <c r="M44" s="130">
        <v>2695</v>
      </c>
      <c r="N44" s="130">
        <v>268646.35</v>
      </c>
      <c r="O44" s="129" t="s">
        <v>9759</v>
      </c>
      <c r="P44" s="136"/>
    </row>
    <row r="45" s="93" customFormat="1" customHeight="1" spans="1:16">
      <c r="A45" s="106">
        <v>40</v>
      </c>
      <c r="B45" s="106" t="s">
        <v>10864</v>
      </c>
      <c r="C45" s="106" t="s">
        <v>10865</v>
      </c>
      <c r="D45" s="119" t="s">
        <v>10866</v>
      </c>
      <c r="E45" s="106">
        <v>711</v>
      </c>
      <c r="F45" s="106" t="s">
        <v>10751</v>
      </c>
      <c r="G45" s="120">
        <v>64.5</v>
      </c>
      <c r="H45" s="120">
        <v>582751</v>
      </c>
      <c r="I45" s="129">
        <v>241456</v>
      </c>
      <c r="J45" s="130">
        <v>197493</v>
      </c>
      <c r="K45" s="130">
        <v>24949.95</v>
      </c>
      <c r="L45" s="130"/>
      <c r="M45" s="130">
        <v>2894</v>
      </c>
      <c r="N45" s="130">
        <v>225336.95</v>
      </c>
      <c r="O45" s="129" t="s">
        <v>9759</v>
      </c>
      <c r="P45" s="136"/>
    </row>
    <row r="46" s="94" customFormat="1" customHeight="1" spans="1:20">
      <c r="A46" s="106">
        <v>41</v>
      </c>
      <c r="B46" s="106" t="s">
        <v>10867</v>
      </c>
      <c r="C46" s="111" t="s">
        <v>10868</v>
      </c>
      <c r="D46" s="112" t="s">
        <v>10869</v>
      </c>
      <c r="E46" s="113" t="s">
        <v>10870</v>
      </c>
      <c r="F46" s="113" t="s">
        <v>10735</v>
      </c>
      <c r="G46" s="116">
        <v>24.97</v>
      </c>
      <c r="H46" s="121">
        <v>1145201</v>
      </c>
      <c r="I46" s="129">
        <v>1227086.24</v>
      </c>
      <c r="J46" s="130">
        <v>1145201</v>
      </c>
      <c r="K46" s="130">
        <v>74053.15</v>
      </c>
      <c r="L46" s="130">
        <v>63642.95</v>
      </c>
      <c r="M46" s="130">
        <v>7502</v>
      </c>
      <c r="N46" s="130">
        <v>1290399.1</v>
      </c>
      <c r="O46" s="129" t="s">
        <v>9759</v>
      </c>
      <c r="P46" s="131"/>
      <c r="Q46" s="92"/>
      <c r="R46" s="92"/>
      <c r="S46" s="92"/>
      <c r="T46" s="92"/>
    </row>
    <row r="47" s="94" customFormat="1" customHeight="1" spans="1:20">
      <c r="A47" s="106">
        <v>42</v>
      </c>
      <c r="B47" s="106" t="s">
        <v>10871</v>
      </c>
      <c r="C47" s="111" t="s">
        <v>10872</v>
      </c>
      <c r="D47" s="112" t="s">
        <v>10873</v>
      </c>
      <c r="E47" s="113" t="s">
        <v>10874</v>
      </c>
      <c r="F47" s="113" t="s">
        <v>10735</v>
      </c>
      <c r="G47" s="122">
        <v>28.95</v>
      </c>
      <c r="H47" s="113">
        <v>1407708</v>
      </c>
      <c r="I47" s="129">
        <v>60097.29</v>
      </c>
      <c r="J47" s="130">
        <v>0</v>
      </c>
      <c r="K47" s="130">
        <v>43343.57</v>
      </c>
      <c r="L47" s="130"/>
      <c r="M47" s="130">
        <v>5649</v>
      </c>
      <c r="N47" s="130">
        <v>48992.57</v>
      </c>
      <c r="O47" s="129" t="s">
        <v>9759</v>
      </c>
      <c r="P47" s="131"/>
      <c r="Q47" s="92"/>
      <c r="R47" s="92"/>
      <c r="S47" s="92"/>
      <c r="T47" s="92"/>
    </row>
    <row r="48" s="94" customFormat="1" customHeight="1" spans="1:20">
      <c r="A48" s="106">
        <v>43</v>
      </c>
      <c r="B48" s="106" t="s">
        <v>10875</v>
      </c>
      <c r="C48" s="111" t="s">
        <v>10876</v>
      </c>
      <c r="D48" s="112" t="s">
        <v>10877</v>
      </c>
      <c r="E48" s="113" t="s">
        <v>10878</v>
      </c>
      <c r="F48" s="113" t="s">
        <v>10735</v>
      </c>
      <c r="G48" s="113">
        <v>16.56</v>
      </c>
      <c r="H48" s="113">
        <v>753583</v>
      </c>
      <c r="I48" s="129">
        <v>353583</v>
      </c>
      <c r="J48" s="130">
        <v>353583</v>
      </c>
      <c r="K48" s="130"/>
      <c r="L48" s="130"/>
      <c r="M48" s="130"/>
      <c r="N48" s="130">
        <v>353583</v>
      </c>
      <c r="O48" s="129" t="s">
        <v>9759</v>
      </c>
      <c r="P48" s="131"/>
      <c r="Q48" s="92"/>
      <c r="R48" s="92"/>
      <c r="S48" s="92"/>
      <c r="T48" s="92"/>
    </row>
    <row r="49" s="94" customFormat="1" customHeight="1" spans="1:20">
      <c r="A49" s="106">
        <v>44</v>
      </c>
      <c r="B49" s="106" t="s">
        <v>10879</v>
      </c>
      <c r="C49" s="111" t="s">
        <v>10880</v>
      </c>
      <c r="D49" s="112" t="s">
        <v>10881</v>
      </c>
      <c r="E49" s="113" t="s">
        <v>10882</v>
      </c>
      <c r="F49" s="113" t="s">
        <v>10735</v>
      </c>
      <c r="G49" s="113">
        <v>15.02</v>
      </c>
      <c r="H49" s="113">
        <v>714539</v>
      </c>
      <c r="I49" s="129">
        <v>415046.87</v>
      </c>
      <c r="J49" s="130">
        <v>364539</v>
      </c>
      <c r="K49" s="130">
        <v>42337.15</v>
      </c>
      <c r="L49" s="130">
        <v>2023.19</v>
      </c>
      <c r="M49" s="130">
        <v>5623</v>
      </c>
      <c r="N49" s="130">
        <v>414522.34</v>
      </c>
      <c r="O49" s="138" t="s">
        <v>9759</v>
      </c>
      <c r="P49" s="131"/>
      <c r="Q49" s="92"/>
      <c r="R49" s="92"/>
      <c r="S49" s="92"/>
      <c r="T49" s="92"/>
    </row>
    <row r="50" s="94" customFormat="1" customHeight="1" spans="1:20">
      <c r="A50" s="106">
        <v>45</v>
      </c>
      <c r="B50" s="106" t="s">
        <v>10883</v>
      </c>
      <c r="C50" s="107" t="s">
        <v>10884</v>
      </c>
      <c r="D50" s="108" t="s">
        <v>10885</v>
      </c>
      <c r="E50" s="106">
        <v>1702</v>
      </c>
      <c r="F50" s="106" t="s">
        <v>10751</v>
      </c>
      <c r="G50" s="106">
        <v>47.59</v>
      </c>
      <c r="H50" s="110">
        <v>679109</v>
      </c>
      <c r="I50" s="129">
        <v>356048</v>
      </c>
      <c r="J50" s="130">
        <v>352752</v>
      </c>
      <c r="K50" s="130"/>
      <c r="L50" s="130"/>
      <c r="M50" s="130"/>
      <c r="N50" s="130">
        <v>352752</v>
      </c>
      <c r="O50" s="129" t="s">
        <v>9759</v>
      </c>
      <c r="P50" s="131"/>
      <c r="Q50" s="92"/>
      <c r="R50" s="92"/>
      <c r="S50" s="92"/>
      <c r="T50" s="92"/>
    </row>
    <row r="51" s="94" customFormat="1" customHeight="1" spans="1:20">
      <c r="A51" s="106">
        <v>46</v>
      </c>
      <c r="B51" s="106" t="s">
        <v>10886</v>
      </c>
      <c r="C51" s="106" t="s">
        <v>10887</v>
      </c>
      <c r="D51" s="119" t="s">
        <v>10888</v>
      </c>
      <c r="E51" s="106" t="s">
        <v>10889</v>
      </c>
      <c r="F51" s="123" t="s">
        <v>10735</v>
      </c>
      <c r="G51" s="120">
        <v>34.28</v>
      </c>
      <c r="H51" s="120">
        <v>1843774</v>
      </c>
      <c r="I51" s="129">
        <v>931835.09</v>
      </c>
      <c r="J51" s="130">
        <v>823774</v>
      </c>
      <c r="K51" s="130">
        <v>106678.73</v>
      </c>
      <c r="L51" s="130">
        <v>0</v>
      </c>
      <c r="M51" s="130">
        <v>0</v>
      </c>
      <c r="N51" s="130">
        <v>930452.73</v>
      </c>
      <c r="O51" s="129" t="s">
        <v>9759</v>
      </c>
      <c r="P51" s="131"/>
      <c r="Q51" s="92"/>
      <c r="R51" s="92"/>
      <c r="S51" s="92"/>
      <c r="T51" s="92"/>
    </row>
    <row r="52" s="94" customFormat="1" customHeight="1" spans="1:20">
      <c r="A52" s="106">
        <v>47</v>
      </c>
      <c r="B52" s="106" t="s">
        <v>10890</v>
      </c>
      <c r="C52" s="106" t="s">
        <v>10891</v>
      </c>
      <c r="D52" s="119" t="s">
        <v>10892</v>
      </c>
      <c r="E52" s="106" t="s">
        <v>10893</v>
      </c>
      <c r="F52" s="123" t="s">
        <v>10735</v>
      </c>
      <c r="G52" s="106">
        <v>40.93</v>
      </c>
      <c r="H52" s="120">
        <v>813262</v>
      </c>
      <c r="I52" s="129">
        <v>427838.5</v>
      </c>
      <c r="J52" s="130">
        <v>413262</v>
      </c>
      <c r="K52" s="130">
        <v>0</v>
      </c>
      <c r="L52" s="130">
        <v>10786.14</v>
      </c>
      <c r="M52" s="130">
        <v>3749</v>
      </c>
      <c r="N52" s="130">
        <v>427797.14</v>
      </c>
      <c r="O52" s="129" t="s">
        <v>9759</v>
      </c>
      <c r="P52" s="131"/>
      <c r="Q52" s="92"/>
      <c r="R52" s="92"/>
      <c r="S52" s="92"/>
      <c r="T52" s="92"/>
    </row>
    <row r="53" s="94" customFormat="1" customHeight="1" spans="1:20">
      <c r="A53" s="106">
        <v>48</v>
      </c>
      <c r="B53" s="106" t="s">
        <v>10894</v>
      </c>
      <c r="C53" s="106" t="s">
        <v>10895</v>
      </c>
      <c r="D53" s="119" t="s">
        <v>10896</v>
      </c>
      <c r="E53" s="106">
        <v>1802</v>
      </c>
      <c r="F53" s="106" t="s">
        <v>10751</v>
      </c>
      <c r="G53" s="120">
        <v>47.59</v>
      </c>
      <c r="H53" s="120">
        <v>690000</v>
      </c>
      <c r="I53" s="129">
        <v>393513.06</v>
      </c>
      <c r="J53" s="130">
        <v>353643</v>
      </c>
      <c r="K53" s="130">
        <v>15835.74</v>
      </c>
      <c r="L53" s="130">
        <v>20732.32</v>
      </c>
      <c r="M53" s="130">
        <v>3302</v>
      </c>
      <c r="N53" s="130">
        <v>393513.06</v>
      </c>
      <c r="O53" s="129" t="s">
        <v>9759</v>
      </c>
      <c r="P53" s="131"/>
      <c r="Q53" s="92"/>
      <c r="R53" s="92"/>
      <c r="S53" s="92"/>
      <c r="T53" s="92"/>
    </row>
    <row r="54" s="94" customFormat="1" customHeight="1" spans="1:20">
      <c r="A54" s="106">
        <v>49</v>
      </c>
      <c r="B54" s="106" t="s">
        <v>10897</v>
      </c>
      <c r="C54" s="106" t="s">
        <v>10898</v>
      </c>
      <c r="D54" s="119" t="s">
        <v>10899</v>
      </c>
      <c r="E54" s="106">
        <v>1502</v>
      </c>
      <c r="F54" s="106" t="s">
        <v>10751</v>
      </c>
      <c r="G54" s="120">
        <v>49.37</v>
      </c>
      <c r="H54" s="120">
        <v>760000</v>
      </c>
      <c r="I54" s="129">
        <v>427145.17</v>
      </c>
      <c r="J54" s="130">
        <v>383759</v>
      </c>
      <c r="K54" s="130">
        <v>17360.3</v>
      </c>
      <c r="L54" s="130">
        <v>22497.87</v>
      </c>
      <c r="M54" s="130">
        <v>3528</v>
      </c>
      <c r="N54" s="130">
        <v>427145.17</v>
      </c>
      <c r="O54" s="129" t="s">
        <v>9759</v>
      </c>
      <c r="P54" s="92"/>
      <c r="Q54" s="92"/>
      <c r="R54" s="92"/>
      <c r="S54" s="92"/>
      <c r="T54" s="92"/>
    </row>
    <row r="55" s="93" customFormat="1" customHeight="1" spans="1:20">
      <c r="A55" s="106">
        <v>50</v>
      </c>
      <c r="B55" s="106" t="s">
        <v>10900</v>
      </c>
      <c r="C55" s="106" t="s">
        <v>10901</v>
      </c>
      <c r="D55" s="119" t="s">
        <v>10902</v>
      </c>
      <c r="E55" s="106" t="s">
        <v>10903</v>
      </c>
      <c r="F55" s="106" t="s">
        <v>10751</v>
      </c>
      <c r="G55" s="120">
        <v>116.48</v>
      </c>
      <c r="H55" s="120">
        <v>1590451</v>
      </c>
      <c r="I55" s="129">
        <v>915019</v>
      </c>
      <c r="J55" s="130">
        <v>808357</v>
      </c>
      <c r="K55" s="130">
        <v>106662</v>
      </c>
      <c r="L55" s="130"/>
      <c r="M55" s="130"/>
      <c r="N55" s="130">
        <v>915019</v>
      </c>
      <c r="O55" s="129" t="s">
        <v>9759</v>
      </c>
      <c r="P55" s="92"/>
      <c r="Q55" s="92"/>
      <c r="R55" s="92"/>
      <c r="S55" s="92"/>
      <c r="T55" s="92"/>
    </row>
    <row r="56" s="93" customFormat="1" customHeight="1" spans="1:20">
      <c r="A56" s="106">
        <v>51</v>
      </c>
      <c r="B56" s="106" t="s">
        <v>10904</v>
      </c>
      <c r="C56" s="106" t="s">
        <v>10905</v>
      </c>
      <c r="D56" s="119" t="s">
        <v>10906</v>
      </c>
      <c r="E56" s="106" t="s">
        <v>10907</v>
      </c>
      <c r="F56" s="106" t="s">
        <v>10751</v>
      </c>
      <c r="G56" s="120">
        <v>116.48</v>
      </c>
      <c r="H56" s="120">
        <v>1583462</v>
      </c>
      <c r="I56" s="129">
        <v>914318</v>
      </c>
      <c r="J56" s="130">
        <v>806864</v>
      </c>
      <c r="K56" s="130">
        <v>0</v>
      </c>
      <c r="L56" s="130">
        <v>107454</v>
      </c>
      <c r="M56" s="130">
        <v>0</v>
      </c>
      <c r="N56" s="130">
        <v>914318</v>
      </c>
      <c r="O56" s="129" t="s">
        <v>9759</v>
      </c>
      <c r="P56" s="92"/>
      <c r="Q56" s="92"/>
      <c r="R56" s="92"/>
      <c r="S56" s="92"/>
      <c r="T56" s="92"/>
    </row>
    <row r="57" s="93" customFormat="1" customHeight="1" spans="1:20">
      <c r="A57" s="106">
        <v>52</v>
      </c>
      <c r="B57" s="106" t="s">
        <v>10908</v>
      </c>
      <c r="C57" s="106" t="s">
        <v>10909</v>
      </c>
      <c r="D57" s="119" t="s">
        <v>10910</v>
      </c>
      <c r="E57" s="106">
        <v>807</v>
      </c>
      <c r="F57" s="106" t="s">
        <v>10751</v>
      </c>
      <c r="G57" s="120">
        <v>49.5</v>
      </c>
      <c r="H57" s="120">
        <v>737255</v>
      </c>
      <c r="I57" s="129">
        <v>393358</v>
      </c>
      <c r="J57" s="130">
        <v>342919.8</v>
      </c>
      <c r="K57" s="130">
        <v>8828</v>
      </c>
      <c r="L57" s="130"/>
      <c r="M57" s="130">
        <v>3508</v>
      </c>
      <c r="N57" s="130">
        <v>355255.8</v>
      </c>
      <c r="O57" s="129" t="s">
        <v>9759</v>
      </c>
      <c r="P57" s="92"/>
      <c r="Q57" s="92"/>
      <c r="R57" s="92"/>
      <c r="S57" s="92"/>
      <c r="T57" s="92"/>
    </row>
    <row r="58" s="95" customFormat="1" customHeight="1" spans="1:15">
      <c r="A58" s="106">
        <v>53</v>
      </c>
      <c r="B58" s="106" t="s">
        <v>10911</v>
      </c>
      <c r="C58" s="106" t="s">
        <v>10912</v>
      </c>
      <c r="D58" s="119" t="s">
        <v>10913</v>
      </c>
      <c r="E58" s="106" t="s">
        <v>10914</v>
      </c>
      <c r="F58" s="123" t="s">
        <v>10735</v>
      </c>
      <c r="G58" s="106">
        <v>17.95</v>
      </c>
      <c r="H58" s="120">
        <v>831047</v>
      </c>
      <c r="I58" s="129">
        <v>1034047</v>
      </c>
      <c r="J58" s="130">
        <v>831047</v>
      </c>
      <c r="K58" s="130">
        <v>109975.22</v>
      </c>
      <c r="L58" s="130"/>
      <c r="M58" s="130">
        <v>6055</v>
      </c>
      <c r="N58" s="130">
        <v>947077.22</v>
      </c>
      <c r="O58" s="129" t="s">
        <v>9759</v>
      </c>
    </row>
    <row r="59" s="96" customFormat="1" customHeight="1" spans="1:16">
      <c r="A59" s="106">
        <v>54</v>
      </c>
      <c r="B59" s="106" t="s">
        <v>10915</v>
      </c>
      <c r="C59" s="106" t="s">
        <v>10916</v>
      </c>
      <c r="D59" s="119" t="s">
        <v>10917</v>
      </c>
      <c r="E59" s="106">
        <v>1807</v>
      </c>
      <c r="F59" s="106" t="s">
        <v>10751</v>
      </c>
      <c r="G59" s="120">
        <v>86.33</v>
      </c>
      <c r="H59" s="120">
        <v>1680000</v>
      </c>
      <c r="I59" s="129">
        <v>685691</v>
      </c>
      <c r="J59" s="130">
        <v>635615.03</v>
      </c>
      <c r="K59" s="130"/>
      <c r="L59" s="130"/>
      <c r="M59" s="130"/>
      <c r="N59" s="130">
        <v>635615.03</v>
      </c>
      <c r="O59" s="129" t="s">
        <v>9759</v>
      </c>
      <c r="P59" s="102"/>
    </row>
    <row r="60" s="96" customFormat="1" customHeight="1" spans="1:15">
      <c r="A60" s="106">
        <v>55</v>
      </c>
      <c r="B60" s="106" t="s">
        <v>10918</v>
      </c>
      <c r="C60" s="106" t="s">
        <v>10919</v>
      </c>
      <c r="D60" s="119" t="s">
        <v>10920</v>
      </c>
      <c r="E60" s="106">
        <v>901</v>
      </c>
      <c r="F60" s="106" t="s">
        <v>10751</v>
      </c>
      <c r="G60" s="120">
        <v>109.13</v>
      </c>
      <c r="H60" s="120">
        <v>1028987</v>
      </c>
      <c r="I60" s="129">
        <v>1390137.84</v>
      </c>
      <c r="J60" s="130">
        <v>1028987</v>
      </c>
      <c r="K60" s="130">
        <v>263781.28</v>
      </c>
      <c r="L60" s="130">
        <v>0</v>
      </c>
      <c r="M60" s="130">
        <v>22490</v>
      </c>
      <c r="N60" s="130">
        <v>1315258.28</v>
      </c>
      <c r="O60" s="129" t="s">
        <v>9759</v>
      </c>
    </row>
    <row r="61" s="96" customFormat="1" customHeight="1" spans="1:15">
      <c r="A61" s="106">
        <v>56</v>
      </c>
      <c r="B61" s="106" t="s">
        <v>10921</v>
      </c>
      <c r="C61" s="106" t="s">
        <v>10922</v>
      </c>
      <c r="D61" s="119" t="s">
        <v>10923</v>
      </c>
      <c r="E61" s="106" t="s">
        <v>10924</v>
      </c>
      <c r="F61" s="123" t="s">
        <v>10735</v>
      </c>
      <c r="G61" s="106">
        <v>17.43</v>
      </c>
      <c r="H61" s="120">
        <v>458372</v>
      </c>
      <c r="I61" s="129">
        <v>258372</v>
      </c>
      <c r="J61" s="130">
        <v>218372</v>
      </c>
      <c r="K61" s="130">
        <v>5644.76</v>
      </c>
      <c r="L61" s="130">
        <v>5644.76</v>
      </c>
      <c r="M61" s="130">
        <v>42438</v>
      </c>
      <c r="N61" s="130">
        <v>272099.52</v>
      </c>
      <c r="O61" s="129" t="s">
        <v>9759</v>
      </c>
    </row>
    <row r="62" s="96" customFormat="1" customHeight="1" spans="1:15">
      <c r="A62" s="106">
        <v>57</v>
      </c>
      <c r="B62" s="106" t="s">
        <v>10925</v>
      </c>
      <c r="C62" s="107" t="s">
        <v>10926</v>
      </c>
      <c r="D62" s="108" t="s">
        <v>10927</v>
      </c>
      <c r="E62" s="106" t="s">
        <v>10928</v>
      </c>
      <c r="F62" s="109" t="s">
        <v>10735</v>
      </c>
      <c r="G62" s="117">
        <v>20.47</v>
      </c>
      <c r="H62" s="114">
        <v>980668</v>
      </c>
      <c r="I62" s="129">
        <v>528606</v>
      </c>
      <c r="J62" s="134">
        <v>490668</v>
      </c>
      <c r="K62" s="134">
        <v>33775</v>
      </c>
      <c r="L62" s="134"/>
      <c r="M62" s="134">
        <v>4146</v>
      </c>
      <c r="N62" s="134">
        <v>528589</v>
      </c>
      <c r="O62" s="133" t="s">
        <v>9759</v>
      </c>
    </row>
    <row r="63" s="96" customFormat="1" customHeight="1" spans="1:15">
      <c r="A63" s="106">
        <v>58</v>
      </c>
      <c r="B63" s="106" t="s">
        <v>10929</v>
      </c>
      <c r="C63" s="107" t="s">
        <v>10930</v>
      </c>
      <c r="D63" s="108" t="s">
        <v>10931</v>
      </c>
      <c r="E63" s="106" t="s">
        <v>10932</v>
      </c>
      <c r="F63" s="109" t="s">
        <v>10735</v>
      </c>
      <c r="G63" s="117">
        <v>11.9</v>
      </c>
      <c r="H63" s="114">
        <v>320450</v>
      </c>
      <c r="I63" s="129">
        <v>349659</v>
      </c>
      <c r="J63" s="134">
        <v>321808</v>
      </c>
      <c r="K63" s="134">
        <v>16175.3216</v>
      </c>
      <c r="L63" s="134"/>
      <c r="M63" s="134">
        <v>3071</v>
      </c>
      <c r="N63" s="134">
        <v>341054.3216</v>
      </c>
      <c r="O63" s="133" t="s">
        <v>9759</v>
      </c>
    </row>
    <row r="64" s="96" customFormat="1" customHeight="1" spans="1:15">
      <c r="A64" s="106">
        <v>59</v>
      </c>
      <c r="B64" s="106" t="s">
        <v>10933</v>
      </c>
      <c r="C64" s="107" t="s">
        <v>10934</v>
      </c>
      <c r="D64" s="108" t="s">
        <v>10935</v>
      </c>
      <c r="E64" s="106" t="s">
        <v>10936</v>
      </c>
      <c r="F64" s="109" t="s">
        <v>10735</v>
      </c>
      <c r="G64" s="117">
        <v>9.67</v>
      </c>
      <c r="H64" s="114">
        <v>310263</v>
      </c>
      <c r="I64" s="129">
        <v>162016</v>
      </c>
      <c r="J64" s="134">
        <v>160263</v>
      </c>
      <c r="K64" s="134">
        <v>10869.27</v>
      </c>
      <c r="L64" s="134"/>
      <c r="M64" s="134">
        <v>1753</v>
      </c>
      <c r="N64" s="134">
        <v>172885.27</v>
      </c>
      <c r="O64" s="133" t="s">
        <v>9759</v>
      </c>
    </row>
    <row r="65" s="96" customFormat="1" ht="31" customHeight="1" spans="1:15">
      <c r="A65" s="106">
        <v>60</v>
      </c>
      <c r="B65" s="106" t="s">
        <v>10937</v>
      </c>
      <c r="C65" s="107" t="s">
        <v>10938</v>
      </c>
      <c r="D65" s="108" t="s">
        <v>10939</v>
      </c>
      <c r="E65" s="106" t="s">
        <v>10940</v>
      </c>
      <c r="F65" s="109" t="s">
        <v>10735</v>
      </c>
      <c r="G65" s="117">
        <v>32.23</v>
      </c>
      <c r="H65" s="114">
        <v>858263</v>
      </c>
      <c r="I65" s="129">
        <v>484681.85</v>
      </c>
      <c r="J65" s="134">
        <v>408263</v>
      </c>
      <c r="K65" s="134">
        <v>20127.93</v>
      </c>
      <c r="L65" s="134"/>
      <c r="M65" s="134">
        <v>4087</v>
      </c>
      <c r="N65" s="134">
        <v>432477.93</v>
      </c>
      <c r="O65" s="133" t="s">
        <v>9759</v>
      </c>
    </row>
    <row r="66" s="96" customFormat="1" customHeight="1" spans="1:15">
      <c r="A66" s="106">
        <v>61</v>
      </c>
      <c r="B66" s="106" t="s">
        <v>10941</v>
      </c>
      <c r="C66" s="107" t="s">
        <v>10942</v>
      </c>
      <c r="D66" s="108" t="s">
        <v>10943</v>
      </c>
      <c r="E66" s="106" t="s">
        <v>10944</v>
      </c>
      <c r="F66" s="109" t="s">
        <v>10735</v>
      </c>
      <c r="G66" s="117">
        <v>18.08</v>
      </c>
      <c r="H66" s="114">
        <v>470850</v>
      </c>
      <c r="I66" s="129">
        <v>250071.21</v>
      </c>
      <c r="J66" s="134">
        <v>240850</v>
      </c>
      <c r="K66" s="134">
        <v>9221.21</v>
      </c>
      <c r="L66" s="134"/>
      <c r="M66" s="134">
        <v>5000</v>
      </c>
      <c r="N66" s="134">
        <v>255071.21</v>
      </c>
      <c r="O66" s="133" t="s">
        <v>9759</v>
      </c>
    </row>
    <row r="67" s="96" customFormat="1" customHeight="1" spans="1:15">
      <c r="A67" s="106">
        <v>62</v>
      </c>
      <c r="B67" s="106" t="s">
        <v>10945</v>
      </c>
      <c r="C67" s="107" t="s">
        <v>10946</v>
      </c>
      <c r="D67" s="108" t="s">
        <v>10947</v>
      </c>
      <c r="E67" s="106" t="s">
        <v>10948</v>
      </c>
      <c r="F67" s="109" t="s">
        <v>10735</v>
      </c>
      <c r="G67" s="117">
        <v>16.84</v>
      </c>
      <c r="H67" s="114">
        <v>816485</v>
      </c>
      <c r="I67" s="129">
        <v>445676.15</v>
      </c>
      <c r="J67" s="134">
        <v>416485</v>
      </c>
      <c r="K67" s="134">
        <v>25417.15</v>
      </c>
      <c r="L67" s="134">
        <v>0</v>
      </c>
      <c r="M67" s="134">
        <v>3774</v>
      </c>
      <c r="N67" s="134">
        <v>445676.15</v>
      </c>
      <c r="O67" s="133" t="s">
        <v>9759</v>
      </c>
    </row>
    <row r="68" s="96" customFormat="1" customHeight="1" spans="1:15">
      <c r="A68" s="106">
        <v>63</v>
      </c>
      <c r="B68" s="106" t="s">
        <v>10949</v>
      </c>
      <c r="C68" s="107" t="s">
        <v>10950</v>
      </c>
      <c r="D68" s="108" t="s">
        <v>10951</v>
      </c>
      <c r="E68" s="106" t="s">
        <v>10952</v>
      </c>
      <c r="F68" s="109" t="s">
        <v>10735</v>
      </c>
      <c r="G68" s="117">
        <v>16.43</v>
      </c>
      <c r="H68" s="114">
        <v>480028</v>
      </c>
      <c r="I68" s="129">
        <v>269555.49</v>
      </c>
      <c r="J68" s="134">
        <v>240028</v>
      </c>
      <c r="K68" s="134">
        <v>13065.86</v>
      </c>
      <c r="L68" s="134">
        <v>13945.63</v>
      </c>
      <c r="M68" s="134">
        <v>2516</v>
      </c>
      <c r="N68" s="134">
        <v>269555.49</v>
      </c>
      <c r="O68" s="133" t="s">
        <v>9759</v>
      </c>
    </row>
    <row r="69" s="96" customFormat="1" ht="25" customHeight="1" spans="1:15">
      <c r="A69" s="106">
        <v>64</v>
      </c>
      <c r="B69" s="106" t="s">
        <v>10953</v>
      </c>
      <c r="C69" s="107" t="s">
        <v>10954</v>
      </c>
      <c r="D69" s="108" t="s">
        <v>10955</v>
      </c>
      <c r="E69" s="106" t="s">
        <v>10956</v>
      </c>
      <c r="F69" s="109" t="s">
        <v>10735</v>
      </c>
      <c r="G69" s="117">
        <v>18.44</v>
      </c>
      <c r="H69" s="114">
        <v>871608</v>
      </c>
      <c r="I69" s="129">
        <v>570771.18</v>
      </c>
      <c r="J69" s="134">
        <v>441608</v>
      </c>
      <c r="K69" s="134">
        <v>38615.55</v>
      </c>
      <c r="L69" s="134">
        <v>57265.51</v>
      </c>
      <c r="M69" s="134">
        <v>3962</v>
      </c>
      <c r="N69" s="134">
        <v>541451.06</v>
      </c>
      <c r="O69" s="133" t="s">
        <v>9759</v>
      </c>
    </row>
    <row r="70" s="97" customFormat="1" customHeight="1" spans="1:28">
      <c r="A70" s="106">
        <v>65</v>
      </c>
      <c r="B70" s="106" t="s">
        <v>10957</v>
      </c>
      <c r="C70" s="111" t="s">
        <v>10958</v>
      </c>
      <c r="D70" s="112" t="s">
        <v>10959</v>
      </c>
      <c r="E70" s="113" t="s">
        <v>10960</v>
      </c>
      <c r="F70" s="113" t="s">
        <v>10735</v>
      </c>
      <c r="G70" s="113">
        <v>18.66</v>
      </c>
      <c r="H70" s="113">
        <v>585000</v>
      </c>
      <c r="I70" s="129">
        <v>298084</v>
      </c>
      <c r="J70" s="134">
        <v>295000</v>
      </c>
      <c r="K70" s="134">
        <v>12367.05</v>
      </c>
      <c r="L70" s="134">
        <v>18739.87</v>
      </c>
      <c r="M70" s="134">
        <v>3084</v>
      </c>
      <c r="N70" s="134">
        <v>329190.92</v>
      </c>
      <c r="O70" s="133" t="s">
        <v>9759</v>
      </c>
      <c r="P70" s="96"/>
      <c r="Q70" s="96"/>
      <c r="R70" s="96"/>
      <c r="S70" s="96"/>
      <c r="T70" s="96"/>
      <c r="U70" s="96"/>
      <c r="V70" s="96"/>
      <c r="W70" s="96"/>
      <c r="X70" s="96"/>
      <c r="Y70" s="96"/>
      <c r="Z70" s="96"/>
      <c r="AA70" s="96"/>
      <c r="AB70" s="96"/>
    </row>
    <row r="71" s="96" customFormat="1" customHeight="1" spans="1:15">
      <c r="A71" s="106">
        <v>66</v>
      </c>
      <c r="B71" s="106" t="s">
        <v>10961</v>
      </c>
      <c r="C71" s="107" t="s">
        <v>10962</v>
      </c>
      <c r="D71" s="108" t="s">
        <v>10963</v>
      </c>
      <c r="E71" s="106">
        <v>1830</v>
      </c>
      <c r="F71" s="106" t="s">
        <v>10751</v>
      </c>
      <c r="G71" s="106">
        <v>57.33</v>
      </c>
      <c r="H71" s="110">
        <v>820000</v>
      </c>
      <c r="I71" s="129">
        <v>309806.58</v>
      </c>
      <c r="J71" s="130">
        <v>214276</v>
      </c>
      <c r="K71" s="130">
        <v>61354.36</v>
      </c>
      <c r="L71" s="130"/>
      <c r="M71" s="130">
        <v>4019</v>
      </c>
      <c r="N71" s="130">
        <v>279649.36</v>
      </c>
      <c r="O71" s="129" t="s">
        <v>9759</v>
      </c>
    </row>
    <row r="72" s="96" customFormat="1" customHeight="1" spans="1:15">
      <c r="A72" s="106">
        <v>67</v>
      </c>
      <c r="B72" s="106" t="s">
        <v>10964</v>
      </c>
      <c r="C72" s="107" t="s">
        <v>10965</v>
      </c>
      <c r="D72" s="108" t="s">
        <v>10966</v>
      </c>
      <c r="E72" s="106" t="s">
        <v>10967</v>
      </c>
      <c r="F72" s="109" t="s">
        <v>10735</v>
      </c>
      <c r="G72" s="106">
        <v>12.67</v>
      </c>
      <c r="H72" s="110">
        <v>343605</v>
      </c>
      <c r="I72" s="129">
        <v>173605</v>
      </c>
      <c r="J72" s="130">
        <v>173605</v>
      </c>
      <c r="K72" s="130"/>
      <c r="L72" s="130"/>
      <c r="M72" s="130"/>
      <c r="N72" s="130">
        <v>173605</v>
      </c>
      <c r="O72" s="129" t="s">
        <v>9759</v>
      </c>
    </row>
    <row r="73" s="96" customFormat="1" customHeight="1" spans="1:15">
      <c r="A73" s="106">
        <v>68</v>
      </c>
      <c r="B73" s="106" t="s">
        <v>10968</v>
      </c>
      <c r="C73" s="107" t="s">
        <v>10969</v>
      </c>
      <c r="D73" s="108" t="s">
        <v>10970</v>
      </c>
      <c r="E73" s="106" t="s">
        <v>10971</v>
      </c>
      <c r="F73" s="109" t="s">
        <v>10735</v>
      </c>
      <c r="G73" s="106">
        <v>17.91</v>
      </c>
      <c r="H73" s="110">
        <v>574985</v>
      </c>
      <c r="I73" s="129">
        <v>371077.74</v>
      </c>
      <c r="J73" s="130">
        <v>294985</v>
      </c>
      <c r="K73" s="130"/>
      <c r="L73" s="130">
        <v>33606.17</v>
      </c>
      <c r="M73" s="130"/>
      <c r="N73" s="130">
        <v>328591.17</v>
      </c>
      <c r="O73" s="129" t="s">
        <v>9759</v>
      </c>
    </row>
    <row r="74" s="96" customFormat="1" customHeight="1" spans="1:15">
      <c r="A74" s="106">
        <v>69</v>
      </c>
      <c r="B74" s="106" t="s">
        <v>10972</v>
      </c>
      <c r="C74" s="139" t="s">
        <v>10973</v>
      </c>
      <c r="D74" s="108" t="s">
        <v>10974</v>
      </c>
      <c r="E74" s="140" t="s">
        <v>10975</v>
      </c>
      <c r="F74" s="140" t="s">
        <v>10735</v>
      </c>
      <c r="G74" s="141">
        <v>21.13</v>
      </c>
      <c r="H74" s="142"/>
      <c r="I74" s="129">
        <v>24000</v>
      </c>
      <c r="J74" s="145">
        <v>0</v>
      </c>
      <c r="K74" s="145"/>
      <c r="L74" s="145"/>
      <c r="M74" s="145"/>
      <c r="N74" s="145">
        <v>0</v>
      </c>
      <c r="O74" s="133" t="s">
        <v>9808</v>
      </c>
    </row>
    <row r="75" s="96" customFormat="1" customHeight="1" spans="1:15">
      <c r="A75" s="106">
        <v>70</v>
      </c>
      <c r="B75" s="106" t="s">
        <v>10976</v>
      </c>
      <c r="C75" s="143" t="s">
        <v>10977</v>
      </c>
      <c r="D75" s="108" t="s">
        <v>10978</v>
      </c>
      <c r="E75" s="140" t="s">
        <v>10979</v>
      </c>
      <c r="F75" s="140" t="s">
        <v>10735</v>
      </c>
      <c r="G75" s="141">
        <v>20.09</v>
      </c>
      <c r="H75" s="140">
        <v>424081</v>
      </c>
      <c r="I75" s="129">
        <v>231208</v>
      </c>
      <c r="J75" s="134">
        <v>214081</v>
      </c>
      <c r="K75" s="134">
        <v>10005.02</v>
      </c>
      <c r="L75" s="134"/>
      <c r="M75" s="134"/>
      <c r="N75" s="134">
        <v>224086.02</v>
      </c>
      <c r="O75" s="133" t="s">
        <v>9759</v>
      </c>
    </row>
    <row r="76" s="96" customFormat="1" customHeight="1" spans="1:15">
      <c r="A76" s="106">
        <v>71</v>
      </c>
      <c r="B76" s="115" t="s">
        <v>10980</v>
      </c>
      <c r="C76" s="111" t="s">
        <v>10981</v>
      </c>
      <c r="D76" s="112" t="s">
        <v>10982</v>
      </c>
      <c r="E76" s="113" t="s">
        <v>10983</v>
      </c>
      <c r="F76" s="113" t="s">
        <v>10735</v>
      </c>
      <c r="G76" s="116">
        <v>9.29</v>
      </c>
      <c r="H76" s="113">
        <v>307325</v>
      </c>
      <c r="I76" s="132">
        <v>162577</v>
      </c>
      <c r="J76" s="133">
        <v>157325</v>
      </c>
      <c r="K76" s="133">
        <v>1157.43</v>
      </c>
      <c r="L76" s="133">
        <v>578.17</v>
      </c>
      <c r="M76" s="133">
        <v>2978</v>
      </c>
      <c r="N76" s="133">
        <v>162038.6</v>
      </c>
      <c r="O76" s="133" t="s">
        <v>9759</v>
      </c>
    </row>
    <row r="77" s="96" customFormat="1" customHeight="1" spans="1:15">
      <c r="A77" s="106">
        <v>72</v>
      </c>
      <c r="B77" s="115" t="s">
        <v>10984</v>
      </c>
      <c r="C77" s="111" t="s">
        <v>10985</v>
      </c>
      <c r="D77" s="112" t="s">
        <v>10986</v>
      </c>
      <c r="E77" s="113">
        <v>4298</v>
      </c>
      <c r="F77" s="113" t="s">
        <v>10735</v>
      </c>
      <c r="G77" s="116">
        <v>15.76</v>
      </c>
      <c r="H77" s="113">
        <v>397876</v>
      </c>
      <c r="I77" s="132">
        <v>397876</v>
      </c>
      <c r="J77" s="133">
        <v>76363.39</v>
      </c>
      <c r="K77" s="133"/>
      <c r="L77" s="133"/>
      <c r="M77" s="133">
        <v>3634</v>
      </c>
      <c r="N77" s="133">
        <v>79997.39</v>
      </c>
      <c r="O77" s="133" t="s">
        <v>9759</v>
      </c>
    </row>
    <row r="78" s="92" customFormat="1" customHeight="1" spans="1:16">
      <c r="A78" s="106">
        <v>73</v>
      </c>
      <c r="B78" s="115" t="s">
        <v>10987</v>
      </c>
      <c r="C78" s="107" t="s">
        <v>10988</v>
      </c>
      <c r="D78" s="112" t="s">
        <v>10989</v>
      </c>
      <c r="E78" s="113" t="s">
        <v>10990</v>
      </c>
      <c r="F78" s="113" t="s">
        <v>10735</v>
      </c>
      <c r="G78" s="144">
        <v>10.4</v>
      </c>
      <c r="H78" s="140">
        <v>401118</v>
      </c>
      <c r="I78" s="132">
        <v>217355.4</v>
      </c>
      <c r="J78" s="130">
        <v>202458</v>
      </c>
      <c r="K78" s="130">
        <v>10000</v>
      </c>
      <c r="L78" s="130">
        <v>2683.4</v>
      </c>
      <c r="M78" s="130">
        <v>2214</v>
      </c>
      <c r="N78" s="130">
        <v>217355.4</v>
      </c>
      <c r="O78" s="129" t="s">
        <v>9759</v>
      </c>
      <c r="P78" s="131"/>
    </row>
    <row r="79" s="92" customFormat="1" customHeight="1" spans="1:16">
      <c r="A79" s="106">
        <v>74</v>
      </c>
      <c r="B79" s="115" t="s">
        <v>2622</v>
      </c>
      <c r="C79" s="107" t="s">
        <v>2623</v>
      </c>
      <c r="D79" s="112" t="s">
        <v>10991</v>
      </c>
      <c r="E79" s="113" t="s">
        <v>10992</v>
      </c>
      <c r="F79" s="113" t="s">
        <v>10729</v>
      </c>
      <c r="G79" s="144"/>
      <c r="H79" s="140"/>
      <c r="I79" s="132">
        <v>500000</v>
      </c>
      <c r="J79" s="130"/>
      <c r="K79" s="130"/>
      <c r="L79" s="130"/>
      <c r="M79" s="130"/>
      <c r="N79" s="130"/>
      <c r="O79" s="129" t="s">
        <v>9881</v>
      </c>
      <c r="P79" s="131"/>
    </row>
  </sheetData>
  <mergeCells count="13">
    <mergeCell ref="A2:O2"/>
    <mergeCell ref="N3:O3"/>
    <mergeCell ref="J4:N4"/>
    <mergeCell ref="A4:A5"/>
    <mergeCell ref="B4:B5"/>
    <mergeCell ref="C4:C5"/>
    <mergeCell ref="D4:D5"/>
    <mergeCell ref="E4:E5"/>
    <mergeCell ref="F4:F5"/>
    <mergeCell ref="G4:G5"/>
    <mergeCell ref="H4:H5"/>
    <mergeCell ref="I4:I5"/>
    <mergeCell ref="O4:O5"/>
  </mergeCells>
  <conditionalFormatting sqref="A4">
    <cfRule type="duplicateValues" dxfId="1" priority="1"/>
  </conditionalFormatting>
  <conditionalFormatting sqref="B79">
    <cfRule type="duplicateValues" dxfId="1" priority="3"/>
  </conditionalFormatting>
  <conditionalFormatting sqref="B6:B78 B4 B80:B1048576">
    <cfRule type="duplicateValues" dxfId="1" priority="5"/>
  </conditionalFormatting>
  <pageMargins left="0.751388888888889" right="0.236111111111111" top="0.66875" bottom="0.629861111111111" header="0.5" footer="0.393055555555556"/>
  <pageSetup paperSize="9" scale="81" fitToHeight="0" orientation="landscape" horizontalDpi="600"/>
  <headerFooter>
    <oddFooter>&amp;L退房债权申报及确认明细表&amp;C第 &amp;P 页，共 &amp;N 页</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4"/>
  <sheetViews>
    <sheetView tabSelected="1" workbookViewId="0">
      <selection activeCell="F11" sqref="F11"/>
    </sheetView>
  </sheetViews>
  <sheetFormatPr defaultColWidth="8.72727272727273" defaultRowHeight="18" customHeight="1"/>
  <cols>
    <col min="1" max="1" width="8.27272727272727" style="74" customWidth="1"/>
    <col min="2" max="2" width="10.0909090909091" style="74" customWidth="1"/>
    <col min="3" max="3" width="11.8181818181818" style="74" customWidth="1"/>
    <col min="4" max="4" width="31.1818181818182" style="74" customWidth="1"/>
    <col min="5" max="5" width="18.5363636363636" style="74" customWidth="1"/>
    <col min="6" max="6" width="9.63636363636364" style="74" customWidth="1"/>
    <col min="7" max="9" width="15.1818181818182" style="75" customWidth="1"/>
    <col min="10" max="10" width="15.2272727272727" style="74"/>
    <col min="11" max="11" width="15.1818181818182" style="74"/>
    <col min="12" max="12" width="19.2181818181818" style="74" customWidth="1"/>
    <col min="13" max="16384" width="8.72727272727273" style="74"/>
  </cols>
  <sheetData>
    <row r="1" customHeight="1" spans="1:1">
      <c r="A1" s="74" t="s">
        <v>10993</v>
      </c>
    </row>
    <row r="2" customHeight="1" spans="1:12">
      <c r="A2" s="76" t="s">
        <v>10994</v>
      </c>
      <c r="B2" s="76"/>
      <c r="C2" s="76"/>
      <c r="D2" s="76"/>
      <c r="E2" s="76"/>
      <c r="F2" s="76"/>
      <c r="G2" s="76"/>
      <c r="H2" s="76"/>
      <c r="I2" s="76"/>
      <c r="J2" s="76"/>
      <c r="K2" s="76"/>
      <c r="L2" s="76"/>
    </row>
    <row r="4" s="73" customFormat="1" ht="28" customHeight="1" spans="1:12">
      <c r="A4" s="77" t="s">
        <v>0</v>
      </c>
      <c r="B4" s="78" t="s">
        <v>9873</v>
      </c>
      <c r="C4" s="78" t="s">
        <v>9874</v>
      </c>
      <c r="D4" s="78" t="s">
        <v>9872</v>
      </c>
      <c r="E4" s="77" t="s">
        <v>10995</v>
      </c>
      <c r="F4" s="77" t="s">
        <v>10996</v>
      </c>
      <c r="G4" s="79" t="s">
        <v>10997</v>
      </c>
      <c r="H4" s="79"/>
      <c r="I4" s="79"/>
      <c r="J4" s="87" t="s">
        <v>9742</v>
      </c>
      <c r="K4" s="87"/>
      <c r="L4" s="87"/>
    </row>
    <row r="5" s="73" customFormat="1" customHeight="1" spans="1:12">
      <c r="A5" s="80"/>
      <c r="B5" s="81"/>
      <c r="C5" s="81"/>
      <c r="D5" s="81"/>
      <c r="E5" s="80"/>
      <c r="F5" s="80"/>
      <c r="G5" s="79" t="s">
        <v>10998</v>
      </c>
      <c r="H5" s="79" t="s">
        <v>10999</v>
      </c>
      <c r="I5" s="88" t="s">
        <v>9748</v>
      </c>
      <c r="J5" s="89" t="s">
        <v>9751</v>
      </c>
      <c r="K5" s="89" t="s">
        <v>10999</v>
      </c>
      <c r="L5" s="89" t="s">
        <v>9754</v>
      </c>
    </row>
    <row r="6" ht="27" customHeight="1" spans="1:12">
      <c r="A6" s="82" t="s">
        <v>11000</v>
      </c>
      <c r="B6" s="83" t="s">
        <v>11001</v>
      </c>
      <c r="C6" s="83" t="s">
        <v>11002</v>
      </c>
      <c r="D6" s="83" t="s">
        <v>11003</v>
      </c>
      <c r="E6" s="84" t="s">
        <v>11004</v>
      </c>
      <c r="F6" s="85" t="s">
        <v>11005</v>
      </c>
      <c r="G6" s="84">
        <v>3682793.14</v>
      </c>
      <c r="H6" s="84">
        <v>2650527.76</v>
      </c>
      <c r="I6" s="84">
        <v>6333320.9</v>
      </c>
      <c r="J6" s="90">
        <v>3682793.14</v>
      </c>
      <c r="K6" s="90">
        <v>2650527.76</v>
      </c>
      <c r="L6" s="90">
        <v>6333320.9</v>
      </c>
    </row>
    <row r="7" customHeight="1" spans="1:12">
      <c r="A7" s="82" t="s">
        <v>11000</v>
      </c>
      <c r="B7" s="83" t="s">
        <v>11001</v>
      </c>
      <c r="C7" s="83" t="s">
        <v>11002</v>
      </c>
      <c r="D7" s="83" t="s">
        <v>11003</v>
      </c>
      <c r="E7" s="84" t="s">
        <v>11006</v>
      </c>
      <c r="F7" s="82"/>
      <c r="G7" s="84">
        <v>1922534.64</v>
      </c>
      <c r="H7" s="84">
        <v>326617.29</v>
      </c>
      <c r="I7" s="84">
        <v>2249151.93</v>
      </c>
      <c r="J7" s="84">
        <v>1922534.64</v>
      </c>
      <c r="K7" s="84">
        <v>326617.29</v>
      </c>
      <c r="L7" s="84">
        <v>2249151.93</v>
      </c>
    </row>
    <row r="8" customHeight="1" spans="1:12">
      <c r="A8" s="82" t="s">
        <v>11000</v>
      </c>
      <c r="B8" s="83" t="s">
        <v>11001</v>
      </c>
      <c r="C8" s="83" t="s">
        <v>11002</v>
      </c>
      <c r="D8" s="83" t="s">
        <v>11003</v>
      </c>
      <c r="E8" s="84" t="s">
        <v>11007</v>
      </c>
      <c r="F8" s="86">
        <v>0.02</v>
      </c>
      <c r="G8" s="84">
        <v>34878.73</v>
      </c>
      <c r="H8" s="84">
        <v>6375.11</v>
      </c>
      <c r="I8" s="84">
        <v>41253.84</v>
      </c>
      <c r="J8" s="84">
        <v>34878.73</v>
      </c>
      <c r="K8" s="84">
        <v>6375.11</v>
      </c>
      <c r="L8" s="84">
        <v>41253.84</v>
      </c>
    </row>
    <row r="9" customHeight="1" spans="1:12">
      <c r="A9" s="82" t="s">
        <v>11000</v>
      </c>
      <c r="B9" s="83" t="s">
        <v>11001</v>
      </c>
      <c r="C9" s="83" t="s">
        <v>11002</v>
      </c>
      <c r="D9" s="83" t="s">
        <v>11003</v>
      </c>
      <c r="E9" s="84" t="s">
        <v>11008</v>
      </c>
      <c r="F9" s="86">
        <v>0.03</v>
      </c>
      <c r="G9" s="84">
        <v>5112.86</v>
      </c>
      <c r="H9" s="84">
        <v>2334.02</v>
      </c>
      <c r="I9" s="84">
        <v>7446.88</v>
      </c>
      <c r="J9" s="84">
        <v>5112.86</v>
      </c>
      <c r="K9" s="84">
        <v>2334.02</v>
      </c>
      <c r="L9" s="84">
        <v>7446.88</v>
      </c>
    </row>
    <row r="10" customHeight="1" spans="1:12">
      <c r="A10" s="82" t="s">
        <v>11000</v>
      </c>
      <c r="B10" s="83" t="s">
        <v>11001</v>
      </c>
      <c r="C10" s="83" t="s">
        <v>11002</v>
      </c>
      <c r="D10" s="83" t="s">
        <v>11003</v>
      </c>
      <c r="E10" s="84" t="s">
        <v>11009</v>
      </c>
      <c r="F10" s="86">
        <v>0.02</v>
      </c>
      <c r="G10" s="84">
        <v>3408.57</v>
      </c>
      <c r="H10" s="84">
        <v>1556.01</v>
      </c>
      <c r="I10" s="84">
        <v>4964.58</v>
      </c>
      <c r="J10" s="84">
        <v>3408.57</v>
      </c>
      <c r="K10" s="84">
        <v>1556.01</v>
      </c>
      <c r="L10" s="84">
        <v>4964.58</v>
      </c>
    </row>
    <row r="11" customHeight="1" spans="1:12">
      <c r="A11" s="82" t="s">
        <v>11000</v>
      </c>
      <c r="B11" s="83" t="s">
        <v>11001</v>
      </c>
      <c r="C11" s="83" t="s">
        <v>11002</v>
      </c>
      <c r="D11" s="83" t="s">
        <v>11003</v>
      </c>
      <c r="E11" s="84" t="s">
        <v>11010</v>
      </c>
      <c r="F11" s="86">
        <v>0.05</v>
      </c>
      <c r="G11" s="84">
        <v>11930.01</v>
      </c>
      <c r="H11" s="84">
        <v>5446.05</v>
      </c>
      <c r="I11" s="84">
        <v>17376.06</v>
      </c>
      <c r="J11" s="84">
        <v>11930.01</v>
      </c>
      <c r="K11" s="84">
        <v>5446.05</v>
      </c>
      <c r="L11" s="84">
        <v>17376.06</v>
      </c>
    </row>
    <row r="12" customHeight="1" spans="1:12">
      <c r="A12" s="82" t="s">
        <v>11000</v>
      </c>
      <c r="B12" s="83" t="s">
        <v>11001</v>
      </c>
      <c r="C12" s="83" t="s">
        <v>11002</v>
      </c>
      <c r="D12" s="83" t="s">
        <v>11003</v>
      </c>
      <c r="E12" s="84" t="s">
        <v>11011</v>
      </c>
      <c r="F12" s="82"/>
      <c r="G12" s="84">
        <v>44064</v>
      </c>
      <c r="H12" s="84">
        <v>10285.05</v>
      </c>
      <c r="I12" s="84">
        <v>54349.05</v>
      </c>
      <c r="J12" s="84">
        <v>44064</v>
      </c>
      <c r="K12" s="84">
        <v>10285.05</v>
      </c>
      <c r="L12" s="84">
        <v>54349.05</v>
      </c>
    </row>
    <row r="13" customHeight="1" spans="1:12">
      <c r="A13" s="82" t="s">
        <v>11000</v>
      </c>
      <c r="B13" s="83" t="s">
        <v>11001</v>
      </c>
      <c r="C13" s="83" t="s">
        <v>11002</v>
      </c>
      <c r="D13" s="83" t="s">
        <v>11003</v>
      </c>
      <c r="E13" s="84" t="s">
        <v>11012</v>
      </c>
      <c r="F13" s="82"/>
      <c r="G13" s="84">
        <v>2819.41</v>
      </c>
      <c r="H13" s="84">
        <v>468.47</v>
      </c>
      <c r="I13" s="84">
        <v>3287.88</v>
      </c>
      <c r="J13" s="84">
        <v>2819.41</v>
      </c>
      <c r="K13" s="84">
        <v>468.47</v>
      </c>
      <c r="L13" s="84">
        <v>3287.88</v>
      </c>
    </row>
    <row r="14" customHeight="1" spans="1:12">
      <c r="A14" s="82" t="s">
        <v>9754</v>
      </c>
      <c r="B14" s="82"/>
      <c r="C14" s="82"/>
      <c r="D14" s="82"/>
      <c r="E14" s="84"/>
      <c r="F14" s="82"/>
      <c r="G14" s="84">
        <v>5707541.36</v>
      </c>
      <c r="H14" s="84">
        <v>3003609.76</v>
      </c>
      <c r="I14" s="84">
        <v>8711151.12</v>
      </c>
      <c r="J14" s="84">
        <v>5707541.36</v>
      </c>
      <c r="K14" s="84">
        <v>3003609.76</v>
      </c>
      <c r="L14" s="84">
        <v>8711151.12</v>
      </c>
    </row>
  </sheetData>
  <mergeCells count="9">
    <mergeCell ref="A2:L2"/>
    <mergeCell ref="G4:I4"/>
    <mergeCell ref="J4:L4"/>
    <mergeCell ref="A4:A5"/>
    <mergeCell ref="B4:B5"/>
    <mergeCell ref="C4:C5"/>
    <mergeCell ref="D4:D5"/>
    <mergeCell ref="E4:E5"/>
    <mergeCell ref="F4:F5"/>
  </mergeCells>
  <pageMargins left="0.75" right="0.472222222222222" top="1" bottom="1" header="0.5" footer="0.5"/>
  <pageSetup paperSize="9" scale="73"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M55"/>
  <sheetViews>
    <sheetView workbookViewId="0">
      <pane xSplit="3" ySplit="2" topLeftCell="D30" activePane="bottomRight" state="frozen"/>
      <selection/>
      <selection pane="topRight"/>
      <selection pane="bottomLeft"/>
      <selection pane="bottomRight" activeCell="H61" sqref="H61"/>
    </sheetView>
  </sheetViews>
  <sheetFormatPr defaultColWidth="8.72727272727273" defaultRowHeight="14"/>
  <cols>
    <col min="2" max="2" width="24.4636363636364" customWidth="1"/>
    <col min="3" max="3" width="5.53636363636364" customWidth="1"/>
    <col min="4" max="4" width="19.6363636363636" style="2" customWidth="1"/>
    <col min="5" max="5" width="27.3636363636364" style="2" customWidth="1"/>
    <col min="6" max="6" width="23" style="2" customWidth="1"/>
    <col min="7" max="7" width="21.9090909090909" style="2" customWidth="1"/>
    <col min="8" max="8" width="30.5363636363636" style="2" customWidth="1"/>
    <col min="9" max="10" width="20.8181818181818" style="2" customWidth="1"/>
    <col min="11" max="11" width="14" style="2" customWidth="1"/>
    <col min="12" max="12" width="13.1818181818182" style="2" customWidth="1"/>
    <col min="13" max="13" width="7.81818181818182" style="2" customWidth="1"/>
  </cols>
  <sheetData>
    <row r="1" spans="4:12">
      <c r="D1" s="60" t="s">
        <v>11013</v>
      </c>
      <c r="E1" s="60" t="s">
        <v>11014</v>
      </c>
      <c r="F1" s="60" t="s">
        <v>11015</v>
      </c>
      <c r="G1" s="60" t="s">
        <v>11016</v>
      </c>
      <c r="H1" s="60" t="s">
        <v>11017</v>
      </c>
      <c r="I1" s="60" t="s">
        <v>11018</v>
      </c>
      <c r="J1" s="60" t="s">
        <v>11019</v>
      </c>
      <c r="K1" s="60" t="s">
        <v>11020</v>
      </c>
      <c r="L1" s="60" t="s">
        <v>11021</v>
      </c>
    </row>
    <row r="2" spans="1:13">
      <c r="A2" s="61"/>
      <c r="B2" s="61" t="s">
        <v>11022</v>
      </c>
      <c r="C2" s="61"/>
      <c r="D2" s="60" t="s">
        <v>11013</v>
      </c>
      <c r="E2" s="62" t="s">
        <v>9759</v>
      </c>
      <c r="F2" s="60" t="s">
        <v>9759</v>
      </c>
      <c r="G2" s="60" t="s">
        <v>11016</v>
      </c>
      <c r="H2" s="60" t="s">
        <v>9938</v>
      </c>
      <c r="I2" s="60" t="s">
        <v>9808</v>
      </c>
      <c r="J2" s="60" t="s">
        <v>9881</v>
      </c>
      <c r="K2" s="60" t="s">
        <v>11023</v>
      </c>
      <c r="L2" s="60" t="s">
        <v>11024</v>
      </c>
      <c r="M2" s="2" t="s">
        <v>11025</v>
      </c>
    </row>
    <row r="3" spans="1:13">
      <c r="A3" s="63">
        <v>1</v>
      </c>
      <c r="B3" s="64" t="s">
        <v>11026</v>
      </c>
      <c r="C3" s="61" t="s">
        <v>11027</v>
      </c>
      <c r="D3" s="65">
        <f>COUNTA('表5-退房债权 '!O:O)-1</f>
        <v>74</v>
      </c>
      <c r="E3" s="65">
        <f>COUNTIF('表5-退房债权 '!O:O,E2)+COUNTIF('表5-退房债权 '!O:O,H2)</f>
        <v>69</v>
      </c>
      <c r="F3" s="65"/>
      <c r="G3" s="65"/>
      <c r="H3" s="65"/>
      <c r="I3" s="65">
        <f>COUNTIF('表5-退房债权 '!O:O,I2)</f>
        <v>3</v>
      </c>
      <c r="J3" s="65">
        <f>COUNTIF('表5-退房债权 '!O:O,J2)</f>
        <v>2</v>
      </c>
      <c r="K3" s="65"/>
      <c r="L3" s="65">
        <f>D3-E3-I3-J3</f>
        <v>0</v>
      </c>
      <c r="M3" s="2">
        <f>D3-[3]应付债务账面与申报情况!$I$41</f>
        <v>0</v>
      </c>
    </row>
    <row r="4" spans="1:13">
      <c r="A4" s="66"/>
      <c r="B4" s="64"/>
      <c r="C4" s="61" t="s">
        <v>9757</v>
      </c>
      <c r="D4" s="65">
        <f>SUM('表5-退房债权 '!I:I)</f>
        <v>32397953.4646657</v>
      </c>
      <c r="E4" s="65">
        <f>SUMIF('表5-退房债权 '!O:O,E2,'表5-退房债权 '!I:I)+SUMIF('表5-退房债权 '!O:O,H2,'表5-退房债权 '!I:I)</f>
        <v>30356662.4446657</v>
      </c>
      <c r="F4" s="65">
        <f>SUMIF('表5-退房债权 '!O:O,F2,'表5-退房债权 '!N:N)</f>
        <v>29337378.7993</v>
      </c>
      <c r="G4" s="65">
        <f>E4-F4-H4</f>
        <v>1019283.64536574</v>
      </c>
      <c r="H4" s="65"/>
      <c r="I4" s="65">
        <f>SUMIF('表5-退房债权 '!O:O,I2,'表5-退房债权 '!I:I)</f>
        <v>1093319.02</v>
      </c>
      <c r="J4" s="65">
        <f>SUMIF('表5-退房债权 '!O:O,J2,'表5-退房债权 '!I:I)</f>
        <v>947972</v>
      </c>
      <c r="K4" s="65">
        <f>E4-F4-G4-H4</f>
        <v>0</v>
      </c>
      <c r="L4" s="65">
        <f t="shared" ref="L3:L15" si="0">D4-E4-I4-J4</f>
        <v>3.25962901115417e-9</v>
      </c>
      <c r="M4" s="2">
        <f>D4-[3]应付债务账面与申报情况!$I$42</f>
        <v>4.84287738800049e-8</v>
      </c>
    </row>
    <row r="5" spans="1:12">
      <c r="A5" s="61"/>
      <c r="B5" s="61"/>
      <c r="C5" s="61"/>
      <c r="D5" s="65"/>
      <c r="E5" s="65"/>
      <c r="F5" s="65"/>
      <c r="G5" s="65"/>
      <c r="H5" s="65"/>
      <c r="I5" s="65"/>
      <c r="J5" s="65"/>
      <c r="K5" s="65"/>
      <c r="L5" s="65">
        <f t="shared" si="0"/>
        <v>0</v>
      </c>
    </row>
    <row r="6" spans="1:13">
      <c r="A6" s="63">
        <v>2</v>
      </c>
      <c r="B6" s="64" t="s">
        <v>11028</v>
      </c>
      <c r="C6" s="61" t="s">
        <v>11027</v>
      </c>
      <c r="D6" s="65">
        <f>COUNTA(#REF!)-1</f>
        <v>0</v>
      </c>
      <c r="E6" s="65" t="e">
        <f>COUNTIF(#REF!,E2)+COUNTIF(#REF!,H2)</f>
        <v>#REF!</v>
      </c>
      <c r="F6" s="65"/>
      <c r="G6" s="65"/>
      <c r="H6" s="65"/>
      <c r="I6" s="65" t="e">
        <f>COUNTIF(#REF!,I2)</f>
        <v>#REF!</v>
      </c>
      <c r="J6" s="65" t="e">
        <f>COUNTIF(#REF!,J2)</f>
        <v>#REF!</v>
      </c>
      <c r="K6" s="65"/>
      <c r="L6" s="65" t="e">
        <f t="shared" si="0"/>
        <v>#REF!</v>
      </c>
      <c r="M6" s="2">
        <f>D6-[3]应付债务账面与申报情况!$I$37</f>
        <v>-57</v>
      </c>
    </row>
    <row r="7" spans="1:13">
      <c r="A7" s="66"/>
      <c r="B7" s="64"/>
      <c r="C7" s="61" t="s">
        <v>9757</v>
      </c>
      <c r="D7" s="65" t="e">
        <f>SUM(#REF!)</f>
        <v>#REF!</v>
      </c>
      <c r="E7" s="65" t="e">
        <f>SUMIF(#REF!,E2,#REF!)+SUMIF(#REF!,H2,#REF!)</f>
        <v>#REF!</v>
      </c>
      <c r="F7" s="65" t="e">
        <f>SUMIF(#REF!,F2,#REF!)</f>
        <v>#REF!</v>
      </c>
      <c r="G7" s="65" t="e">
        <f>E7-F7-H7</f>
        <v>#REF!</v>
      </c>
      <c r="H7" s="65" t="e">
        <f>SUMIF(#REF!,H2,#REF!)</f>
        <v>#REF!</v>
      </c>
      <c r="I7" s="65" t="e">
        <f>SUMIF(#REF!,I2,#REF!)</f>
        <v>#REF!</v>
      </c>
      <c r="J7" s="65" t="e">
        <f>SUMIF(#REF!,J2,#REF!)</f>
        <v>#REF!</v>
      </c>
      <c r="K7" s="65" t="e">
        <f>E7-F7-G7-H7</f>
        <v>#REF!</v>
      </c>
      <c r="L7" s="65" t="e">
        <f t="shared" si="0"/>
        <v>#REF!</v>
      </c>
      <c r="M7" s="2" t="e">
        <f>D7-[3]应付债务账面与申报情况!$I$38</f>
        <v>#REF!</v>
      </c>
    </row>
    <row r="8" spans="1:12">
      <c r="A8" s="61"/>
      <c r="B8" s="61"/>
      <c r="C8" s="61"/>
      <c r="D8" s="65"/>
      <c r="E8" s="65"/>
      <c r="F8" s="65"/>
      <c r="G8" s="65"/>
      <c r="H8" s="65"/>
      <c r="I8" s="65"/>
      <c r="J8" s="65"/>
      <c r="K8" s="65"/>
      <c r="L8" s="65">
        <f t="shared" si="0"/>
        <v>0</v>
      </c>
    </row>
    <row r="9" spans="1:12">
      <c r="A9" s="67">
        <v>3</v>
      </c>
      <c r="B9" s="68" t="s">
        <v>11029</v>
      </c>
      <c r="C9" s="61" t="s">
        <v>11027</v>
      </c>
      <c r="D9" s="65" t="e">
        <f>COUNTIF('表3-民间借贷及其他债权'!#REF!,B9)</f>
        <v>#REF!</v>
      </c>
      <c r="E9" s="65" t="e">
        <f>COUNTIFS('表3-民间借贷及其他债权'!#REF!,B9,'表3-民间借贷及其他债权'!R:R,E2)+COUNTIFS('表3-民间借贷及其他债权'!#REF!,B9,'表3-民间借贷及其他债权'!R:R,H2)</f>
        <v>#REF!</v>
      </c>
      <c r="F9" s="65"/>
      <c r="G9" s="65"/>
      <c r="H9" s="65"/>
      <c r="I9" s="65" t="e">
        <f>COUNTIFS('表3-民间借贷及其他债权'!#REF!,B9,'表3-民间借贷及其他债权'!R:R,I2)</f>
        <v>#REF!</v>
      </c>
      <c r="J9" s="65" t="e">
        <f>COUNTIFS('表3-民间借贷及其他债权'!#REF!,B9,'表3-民间借贷及其他债权'!R:R,J2)</f>
        <v>#REF!</v>
      </c>
      <c r="K9" s="65"/>
      <c r="L9" s="65" t="e">
        <f t="shared" si="0"/>
        <v>#REF!</v>
      </c>
    </row>
    <row r="10" spans="1:12">
      <c r="A10" s="67"/>
      <c r="B10" s="68"/>
      <c r="C10" s="61" t="s">
        <v>9757</v>
      </c>
      <c r="D10" s="65" t="e">
        <f>SUMIF('表3-民间借贷及其他债权'!#REF!,B9,'表3-民间借贷及其他债权'!E:E)</f>
        <v>#REF!</v>
      </c>
      <c r="E10" s="65" t="e">
        <f>SUMIFS('表3-民间借贷及其他债权'!E:E,'表3-民间借贷及其他债权'!#REF!,B9,'表3-民间借贷及其他债权'!R:R,E2)+SUMIFS('表3-民间借贷及其他债权'!E:E,'表3-民间借贷及其他债权'!#REF!,B9,'表3-民间借贷及其他债权'!R:R,H2)</f>
        <v>#REF!</v>
      </c>
      <c r="F10" s="65" t="e">
        <f>SUMIFS('表3-民间借贷及其他债权'!K:K,'表3-民间借贷及其他债权'!#REF!,B9,'表3-民间借贷及其他债权'!R:R,F2)</f>
        <v>#REF!</v>
      </c>
      <c r="G10" s="65" t="e">
        <f>E10-F10-H10</f>
        <v>#REF!</v>
      </c>
      <c r="H10" s="65" t="e">
        <f>SUMIFS('表3-民间借贷及其他债权'!Q:Q,'表3-民间借贷及其他债权'!#REF!,B9,'表3-民间借贷及其他债权'!R:R,H2)</f>
        <v>#REF!</v>
      </c>
      <c r="I10" s="65" t="e">
        <f>SUMIFS('表3-民间借贷及其他债权'!E:E,'表3-民间借贷及其他债权'!#REF!,B9,'表3-民间借贷及其他债权'!R:R,I2)</f>
        <v>#REF!</v>
      </c>
      <c r="J10" s="65" t="e">
        <f>SUMIFS('表3-民间借贷及其他债权'!E:E,'表3-民间借贷及其他债权'!#REF!,B9,'表3-民间借贷及其他债权'!R:R,J2)</f>
        <v>#REF!</v>
      </c>
      <c r="K10" s="65" t="e">
        <f t="shared" ref="K10:K14" si="1">E10-F10-G10-H10</f>
        <v>#REF!</v>
      </c>
      <c r="L10" s="65" t="e">
        <f t="shared" si="0"/>
        <v>#REF!</v>
      </c>
    </row>
    <row r="11" spans="1:12">
      <c r="A11" s="67"/>
      <c r="B11" s="61"/>
      <c r="C11" s="61"/>
      <c r="D11" s="65"/>
      <c r="E11" s="65"/>
      <c r="F11" s="65"/>
      <c r="G11" s="65"/>
      <c r="H11" s="65"/>
      <c r="I11" s="65"/>
      <c r="J11" s="65"/>
      <c r="K11" s="65"/>
      <c r="L11" s="65">
        <f t="shared" si="0"/>
        <v>0</v>
      </c>
    </row>
    <row r="12" spans="1:12">
      <c r="A12" s="67"/>
      <c r="B12" s="68" t="s">
        <v>11030</v>
      </c>
      <c r="C12" s="61" t="s">
        <v>11027</v>
      </c>
      <c r="D12" s="65" t="e">
        <f>COUNTIF('表3-民间借贷及其他债权'!#REF!,B12)</f>
        <v>#REF!</v>
      </c>
      <c r="E12" s="65" t="e">
        <f>COUNTIFS('表3-民间借贷及其他债权'!#REF!,B12,'表3-民间借贷及其他债权'!R:R,E2)+COUNTIFS('表3-民间借贷及其他债权'!#REF!,B12,'表3-民间借贷及其他债权'!R:R,H2)</f>
        <v>#REF!</v>
      </c>
      <c r="F12" s="65"/>
      <c r="G12" s="65"/>
      <c r="H12" s="65"/>
      <c r="I12" s="65" t="e">
        <f>COUNTIFS('表3-民间借贷及其他债权'!#REF!,B12,'表3-民间借贷及其他债权'!R:R,I2)</f>
        <v>#REF!</v>
      </c>
      <c r="J12" s="65" t="e">
        <f>COUNTIFS('表3-民间借贷及其他债权'!#REF!,B12,'表3-民间借贷及其他债权'!R:R,J2)</f>
        <v>#REF!</v>
      </c>
      <c r="K12" s="65"/>
      <c r="L12" s="65" t="e">
        <f t="shared" si="0"/>
        <v>#REF!</v>
      </c>
    </row>
    <row r="13" spans="1:12">
      <c r="A13" s="67"/>
      <c r="B13" s="68"/>
      <c r="C13" s="61" t="s">
        <v>9757</v>
      </c>
      <c r="D13" s="65" t="e">
        <f>SUMIF('表3-民间借贷及其他债权'!#REF!,B12,'表3-民间借贷及其他债权'!E:E)</f>
        <v>#REF!</v>
      </c>
      <c r="E13" s="65" t="e">
        <f>SUMIFS('表3-民间借贷及其他债权'!E:E,'表3-民间借贷及其他债权'!#REF!,B12,'表3-民间借贷及其他债权'!R:R,E2)+SUMIFS('表3-民间借贷及其他债权'!E:E,'表3-民间借贷及其他债权'!#REF!,B12,'表3-民间借贷及其他债权'!R:R,H2)</f>
        <v>#REF!</v>
      </c>
      <c r="F13" s="65" t="e">
        <f>SUMIFS('表3-民间借贷及其他债权'!K:K,'表3-民间借贷及其他债权'!#REF!,B12,'表3-民间借贷及其他债权'!R:R,F2)</f>
        <v>#REF!</v>
      </c>
      <c r="G13" s="65" t="e">
        <f>E13-F13-H13</f>
        <v>#REF!</v>
      </c>
      <c r="H13" s="65" t="e">
        <f>SUMIFS('表3-民间借贷及其他债权'!Q:Q,'表3-民间借贷及其他债权'!#REF!,B12,'表3-民间借贷及其他债权'!R:R,H2)</f>
        <v>#REF!</v>
      </c>
      <c r="I13" s="65" t="e">
        <f>SUMIFS('表3-民间借贷及其他债权'!E:E,'表3-民间借贷及其他债权'!#REF!,B12,'表3-民间借贷及其他债权'!R:R,I2)</f>
        <v>#REF!</v>
      </c>
      <c r="J13" s="65" t="e">
        <f>SUMIFS('表3-民间借贷及其他债权'!E:E,'表3-民间借贷及其他债权'!#REF!,B12,'表3-民间借贷及其他债权'!R:R,J2)</f>
        <v>#REF!</v>
      </c>
      <c r="K13" s="65" t="e">
        <f t="shared" si="1"/>
        <v>#REF!</v>
      </c>
      <c r="L13" s="65" t="e">
        <f t="shared" si="0"/>
        <v>#REF!</v>
      </c>
    </row>
    <row r="14" spans="1:12">
      <c r="A14" s="67"/>
      <c r="B14" s="61"/>
      <c r="C14" s="61"/>
      <c r="D14" s="65"/>
      <c r="E14" s="65"/>
      <c r="F14" s="65"/>
      <c r="G14" s="65"/>
      <c r="H14" s="65"/>
      <c r="I14" s="65"/>
      <c r="J14" s="65"/>
      <c r="K14" s="65"/>
      <c r="L14" s="65">
        <f t="shared" si="0"/>
        <v>0</v>
      </c>
    </row>
    <row r="15" spans="1:12">
      <c r="A15" s="67"/>
      <c r="B15" s="68" t="s">
        <v>11031</v>
      </c>
      <c r="C15" s="61" t="s">
        <v>11027</v>
      </c>
      <c r="D15" s="65" t="e">
        <f>COUNTIF('表3-民间借贷及其他债权'!#REF!,B15)</f>
        <v>#REF!</v>
      </c>
      <c r="E15" s="65" t="e">
        <f>COUNTIFS('表3-民间借贷及其他债权'!#REF!,B15,'表3-民间借贷及其他债权'!R:R,E2)+COUNTIFS('表3-民间借贷及其他债权'!#REF!,B15,'表3-民间借贷及其他债权'!R:R,H2)</f>
        <v>#REF!</v>
      </c>
      <c r="F15" s="65"/>
      <c r="G15" s="65"/>
      <c r="H15" s="65"/>
      <c r="I15" s="65" t="e">
        <f>COUNTIFS('表3-民间借贷及其他债权'!#REF!,B15,'表3-民间借贷及其他债权'!R:R,I2)</f>
        <v>#REF!</v>
      </c>
      <c r="J15" s="65" t="e">
        <f>COUNTIFS('表3-民间借贷及其他债权'!#REF!,B15,'表3-民间借贷及其他债权'!R:R,J2)</f>
        <v>#REF!</v>
      </c>
      <c r="K15" s="65"/>
      <c r="L15" s="65" t="e">
        <f t="shared" si="0"/>
        <v>#REF!</v>
      </c>
    </row>
    <row r="16" spans="1:12">
      <c r="A16" s="67"/>
      <c r="B16" s="68"/>
      <c r="C16" s="61" t="s">
        <v>9757</v>
      </c>
      <c r="D16" s="65" t="e">
        <f>SUMIF('表3-民间借贷及其他债权'!#REF!,B15,'表3-民间借贷及其他债权'!E:E)</f>
        <v>#REF!</v>
      </c>
      <c r="E16" s="65" t="e">
        <f>SUMIFS('表3-民间借贷及其他债权'!E:E,'表3-民间借贷及其他债权'!#REF!,B15,'表3-民间借贷及其他债权'!R:R,E2)+SUMIFS('表3-民间借贷及其他债权'!E:E,'表3-民间借贷及其他债权'!#REF!,B15,'表3-民间借贷及其他债权'!R:R,H2)</f>
        <v>#REF!</v>
      </c>
      <c r="F16" s="65" t="e">
        <f>SUMIFS('表3-民间借贷及其他债权'!K:K,'表3-民间借贷及其他债权'!#REF!,B15,'表3-民间借贷及其他债权'!R:R,F2)</f>
        <v>#REF!</v>
      </c>
      <c r="G16" s="65" t="e">
        <f>E16-F16-H16</f>
        <v>#REF!</v>
      </c>
      <c r="H16" s="65" t="e">
        <f>SUMIFS('表3-民间借贷及其他债权'!Q:Q,'表3-民间借贷及其他债权'!#REF!,B15,'表3-民间借贷及其他债权'!R:R,H2)</f>
        <v>#REF!</v>
      </c>
      <c r="I16" s="65" t="e">
        <f>SUMIFS('表3-民间借贷及其他债权'!E:E,'表3-民间借贷及其他债权'!#REF!,B15,'表3-民间借贷及其他债权'!R:R,I2)</f>
        <v>#REF!</v>
      </c>
      <c r="J16" s="65" t="e">
        <f>SUMIFS('表3-民间借贷及其他债权'!E:E,'表3-民间借贷及其他债权'!#REF!,B15,'表3-民间借贷及其他债权'!R:R,J2)</f>
        <v>#REF!</v>
      </c>
      <c r="K16" s="65" t="e">
        <f>E16-F16-G16-H16</f>
        <v>#REF!</v>
      </c>
      <c r="L16" s="65" t="e">
        <f t="shared" ref="L16:L22" si="2">D16-E16-I16-J16</f>
        <v>#REF!</v>
      </c>
    </row>
    <row r="17" spans="1:12">
      <c r="A17" s="67"/>
      <c r="B17" s="68"/>
      <c r="C17" s="61"/>
      <c r="D17" s="65"/>
      <c r="E17" s="65"/>
      <c r="F17" s="65"/>
      <c r="G17" s="65"/>
      <c r="H17" s="65"/>
      <c r="I17" s="65"/>
      <c r="J17" s="65"/>
      <c r="K17" s="65"/>
      <c r="L17" s="65">
        <f t="shared" si="2"/>
        <v>0</v>
      </c>
    </row>
    <row r="18" spans="1:13">
      <c r="A18" s="67"/>
      <c r="B18" s="64" t="s">
        <v>11032</v>
      </c>
      <c r="C18" s="61" t="s">
        <v>11027</v>
      </c>
      <c r="D18" s="65" t="e">
        <f t="shared" ref="D18:J18" si="3">D9+D12+D15</f>
        <v>#REF!</v>
      </c>
      <c r="E18" s="65" t="e">
        <f t="shared" si="3"/>
        <v>#REF!</v>
      </c>
      <c r="F18" s="65">
        <f t="shared" si="3"/>
        <v>0</v>
      </c>
      <c r="G18" s="65">
        <f t="shared" si="3"/>
        <v>0</v>
      </c>
      <c r="H18" s="65">
        <f t="shared" si="3"/>
        <v>0</v>
      </c>
      <c r="I18" s="65" t="e">
        <f t="shared" si="3"/>
        <v>#REF!</v>
      </c>
      <c r="J18" s="65" t="e">
        <f t="shared" si="3"/>
        <v>#REF!</v>
      </c>
      <c r="K18" s="65"/>
      <c r="L18" s="65" t="e">
        <f t="shared" si="2"/>
        <v>#REF!</v>
      </c>
      <c r="M18" s="2" t="e">
        <f>D18-[3]应付债务账面与申报情况!$I$24</f>
        <v>#REF!</v>
      </c>
    </row>
    <row r="19" spans="1:13">
      <c r="A19" s="67"/>
      <c r="B19" s="64"/>
      <c r="C19" s="61" t="s">
        <v>9757</v>
      </c>
      <c r="D19" s="65" t="e">
        <f t="shared" ref="D19:J19" si="4">D10+D13+D16</f>
        <v>#REF!</v>
      </c>
      <c r="E19" s="65" t="e">
        <f t="shared" si="4"/>
        <v>#REF!</v>
      </c>
      <c r="F19" s="65" t="e">
        <f t="shared" si="4"/>
        <v>#REF!</v>
      </c>
      <c r="G19" s="65" t="e">
        <f t="shared" si="4"/>
        <v>#REF!</v>
      </c>
      <c r="H19" s="65" t="e">
        <f t="shared" si="4"/>
        <v>#REF!</v>
      </c>
      <c r="I19" s="65" t="e">
        <f t="shared" si="4"/>
        <v>#REF!</v>
      </c>
      <c r="J19" s="65" t="e">
        <f t="shared" si="4"/>
        <v>#REF!</v>
      </c>
      <c r="K19" s="65" t="e">
        <f>E19-F19-G19-H19</f>
        <v>#REF!</v>
      </c>
      <c r="L19" s="65" t="e">
        <f t="shared" si="2"/>
        <v>#REF!</v>
      </c>
      <c r="M19" s="2" t="e">
        <f>D19-[3]应付债务账面与申报情况!$I$25</f>
        <v>#REF!</v>
      </c>
    </row>
    <row r="20" spans="1:12">
      <c r="A20" s="61"/>
      <c r="B20" s="68"/>
      <c r="C20" s="61"/>
      <c r="D20" s="65"/>
      <c r="E20" s="65"/>
      <c r="F20" s="65"/>
      <c r="G20" s="65"/>
      <c r="H20" s="65"/>
      <c r="I20" s="65"/>
      <c r="J20" s="65"/>
      <c r="K20" s="65"/>
      <c r="L20" s="65">
        <f t="shared" si="2"/>
        <v>0</v>
      </c>
    </row>
    <row r="21" spans="1:12">
      <c r="A21" s="67"/>
      <c r="B21" s="64" t="s">
        <v>11032</v>
      </c>
      <c r="C21" s="61" t="s">
        <v>11027</v>
      </c>
      <c r="D21" s="65">
        <f>COUNTA('表3-民间借贷及其他债权'!B:B)-1</f>
        <v>187</v>
      </c>
      <c r="E21" s="65">
        <f>COUNTIF('表3-民间借贷及其他债权'!R:R,E2)+COUNTIF('表3-民间借贷及其他债权'!R:R,H2)</f>
        <v>15</v>
      </c>
      <c r="F21" s="65"/>
      <c r="G21" s="65"/>
      <c r="H21" s="65"/>
      <c r="I21" s="65">
        <f>COUNTIF('表3-民间借贷及其他债权'!R:R,I2)</f>
        <v>9</v>
      </c>
      <c r="J21" s="65">
        <f>COUNTIF('表3-民间借贷及其他债权'!R:R,J2)</f>
        <v>162</v>
      </c>
      <c r="K21" s="65"/>
      <c r="L21" s="65">
        <f t="shared" si="2"/>
        <v>1</v>
      </c>
    </row>
    <row r="22" spans="1:12">
      <c r="A22" s="67"/>
      <c r="B22" s="64"/>
      <c r="C22" s="61" t="s">
        <v>9757</v>
      </c>
      <c r="D22" s="65">
        <f>SUM('表3-民间借贷及其他债权'!E:E)</f>
        <v>2514374230.92667</v>
      </c>
      <c r="E22" s="65">
        <f>SUMIF('表3-民间借贷及其他债权'!R:R,E2,'表3-民间借贷及其他债权'!E:E)+SUMIF('表3-民间借贷及其他债权'!R:R,H2,'表3-民间借贷及其他债权'!E:E)</f>
        <v>762968537.28</v>
      </c>
      <c r="F22" s="65">
        <f>SUMIF('表3-民间借贷及其他债权'!R:R,F2,'表3-民间借贷及其他债权'!K:K)</f>
        <v>742485446.52</v>
      </c>
      <c r="G22" s="65">
        <f>E22-F22-H22</f>
        <v>20483090.76</v>
      </c>
      <c r="H22" s="65">
        <f>SUMIF('表3-民间借贷及其他债权'!R:R,H2,'表3-民间借贷及其他债权'!Q:Q)</f>
        <v>0</v>
      </c>
      <c r="I22" s="65">
        <f>SUMIF('表3-民间借贷及其他债权'!R:R,I2,'表3-民间借贷及其他债权'!E:E)</f>
        <v>130241212.46</v>
      </c>
      <c r="J22" s="65">
        <f>SUMIF('表3-民间借贷及其他债权'!R:R,J2,'表3-民间借贷及其他债权'!E:E)</f>
        <v>1621164481.18667</v>
      </c>
      <c r="K22" s="65">
        <f>E22-F22-G22-H22</f>
        <v>0</v>
      </c>
      <c r="L22" s="65">
        <f t="shared" si="2"/>
        <v>0</v>
      </c>
    </row>
    <row r="23" s="59" customFormat="1" spans="1:13">
      <c r="A23" s="69"/>
      <c r="B23" s="69"/>
      <c r="C23" s="70"/>
      <c r="D23" s="71"/>
      <c r="E23" s="71"/>
      <c r="F23" s="71"/>
      <c r="G23" s="71"/>
      <c r="H23" s="71"/>
      <c r="I23" s="71"/>
      <c r="J23" s="71"/>
      <c r="K23" s="71"/>
      <c r="L23" s="71"/>
      <c r="M23" s="72"/>
    </row>
    <row r="24" s="59" customFormat="1" spans="1:13">
      <c r="A24" s="69"/>
      <c r="B24" s="69"/>
      <c r="C24" s="70"/>
      <c r="D24" s="71" t="e">
        <f>D21-D18</f>
        <v>#REF!</v>
      </c>
      <c r="E24" s="71" t="e">
        <f t="shared" ref="E24:L24" si="5">E21-E18</f>
        <v>#REF!</v>
      </c>
      <c r="F24" s="71">
        <f t="shared" si="5"/>
        <v>0</v>
      </c>
      <c r="G24" s="71">
        <f t="shared" si="5"/>
        <v>0</v>
      </c>
      <c r="H24" s="71">
        <f t="shared" si="5"/>
        <v>0</v>
      </c>
      <c r="I24" s="71" t="e">
        <f t="shared" si="5"/>
        <v>#REF!</v>
      </c>
      <c r="J24" s="71" t="e">
        <f t="shared" si="5"/>
        <v>#REF!</v>
      </c>
      <c r="K24" s="71">
        <f t="shared" si="5"/>
        <v>0</v>
      </c>
      <c r="L24" s="71" t="e">
        <f t="shared" si="5"/>
        <v>#REF!</v>
      </c>
      <c r="M24" s="72"/>
    </row>
    <row r="25" s="59" customFormat="1" spans="1:13">
      <c r="A25" s="69"/>
      <c r="B25" s="69"/>
      <c r="C25" s="70"/>
      <c r="D25" s="71" t="e">
        <f>D22-D19</f>
        <v>#REF!</v>
      </c>
      <c r="E25" s="71" t="e">
        <f t="shared" ref="E25:L25" si="6">E22-E19</f>
        <v>#REF!</v>
      </c>
      <c r="F25" s="71" t="e">
        <f t="shared" si="6"/>
        <v>#REF!</v>
      </c>
      <c r="G25" s="71" t="e">
        <f t="shared" si="6"/>
        <v>#REF!</v>
      </c>
      <c r="H25" s="71" t="e">
        <f t="shared" si="6"/>
        <v>#REF!</v>
      </c>
      <c r="I25" s="71" t="e">
        <f t="shared" si="6"/>
        <v>#REF!</v>
      </c>
      <c r="J25" s="71" t="e">
        <f t="shared" si="6"/>
        <v>#REF!</v>
      </c>
      <c r="K25" s="71" t="e">
        <f t="shared" si="6"/>
        <v>#REF!</v>
      </c>
      <c r="L25" s="71" t="e">
        <f t="shared" si="6"/>
        <v>#REF!</v>
      </c>
      <c r="M25" s="72"/>
    </row>
    <row r="26" s="59" customFormat="1" spans="1:13">
      <c r="A26" s="69"/>
      <c r="B26" s="69"/>
      <c r="C26" s="70"/>
      <c r="D26" s="71"/>
      <c r="E26" s="71"/>
      <c r="F26" s="71"/>
      <c r="G26" s="71"/>
      <c r="H26" s="71"/>
      <c r="I26" s="71"/>
      <c r="J26" s="71"/>
      <c r="K26" s="71"/>
      <c r="L26" s="71"/>
      <c r="M26" s="72"/>
    </row>
    <row r="27" spans="1:12">
      <c r="A27" s="61"/>
      <c r="B27" s="61"/>
      <c r="C27" s="61"/>
      <c r="D27" s="65"/>
      <c r="E27" s="65"/>
      <c r="F27" s="65"/>
      <c r="G27" s="65"/>
      <c r="H27" s="65"/>
      <c r="I27" s="65"/>
      <c r="J27" s="65"/>
      <c r="K27" s="65">
        <f>E27-F27-G27-H27</f>
        <v>0</v>
      </c>
      <c r="L27" s="65">
        <f t="shared" ref="L27:L55" si="7">D27-E27-I27-J27</f>
        <v>0</v>
      </c>
    </row>
    <row r="28" spans="1:13">
      <c r="A28" s="68">
        <v>4</v>
      </c>
      <c r="B28" s="68" t="s">
        <v>11033</v>
      </c>
      <c r="C28" s="61" t="s">
        <v>11027</v>
      </c>
      <c r="D28" s="65">
        <f>COUNTA('表1-工程及经营费用类'!B:B)-1</f>
        <v>58</v>
      </c>
      <c r="E28" s="65">
        <f>COUNTIF('表1-工程及经营费用类'!O:O,E2)+COUNTIF('表1-工程及经营费用类'!O:O,H2)</f>
        <v>26</v>
      </c>
      <c r="F28" s="65"/>
      <c r="G28" s="65"/>
      <c r="H28" s="65"/>
      <c r="I28" s="65">
        <f>COUNTIF('表1-工程及经营费用类'!O:O,I2)</f>
        <v>10</v>
      </c>
      <c r="J28" s="65">
        <f>COUNTIF('表1-工程及经营费用类'!O:O,J2)</f>
        <v>22</v>
      </c>
      <c r="K28" s="65"/>
      <c r="L28" s="65">
        <f t="shared" si="7"/>
        <v>0</v>
      </c>
      <c r="M28" s="2">
        <f>D28-[3]应付债务账面与申报情况!$I$27</f>
        <v>17</v>
      </c>
    </row>
    <row r="29" spans="1:13">
      <c r="A29" s="68"/>
      <c r="B29" s="68"/>
      <c r="C29" s="61" t="s">
        <v>9757</v>
      </c>
      <c r="D29" s="65">
        <f>SUM('表1-工程及经营费用类'!F:F)</f>
        <v>569397800.74</v>
      </c>
      <c r="E29" s="65">
        <f>SUMIF('表1-工程及经营费用类'!O:O,E2,'表1-工程及经营费用类'!F:F)+SUMIF('表1-工程及经营费用类'!O:O,H2,'表1-工程及经营费用类'!F:F)</f>
        <v>263822372.93</v>
      </c>
      <c r="F29" s="65">
        <f>SUMIF('表1-工程及经营费用类'!O:O,F2,'表1-工程及经营费用类'!M:M)</f>
        <v>208899303.89</v>
      </c>
      <c r="G29" s="65">
        <f>E29-F29-H29</f>
        <v>23865359.7</v>
      </c>
      <c r="H29" s="65">
        <f>SUMIF('表1-工程及经营费用类'!O:O,H2,'表1-工程及经营费用类'!N:N)</f>
        <v>31057709.34</v>
      </c>
      <c r="I29" s="65">
        <f>SUMIF('表1-工程及经营费用类'!O:O,I2,'表1-工程及经营费用类'!F:F)</f>
        <v>35361893.3</v>
      </c>
      <c r="J29" s="65">
        <f>SUMIF('表1-工程及经营费用类'!O:O,J2,'表1-工程及经营费用类'!F:F)</f>
        <v>270213534.51</v>
      </c>
      <c r="K29" s="65">
        <f t="shared" ref="K29:K33" si="8">E29-F29-G29-H29</f>
        <v>0</v>
      </c>
      <c r="L29" s="65">
        <f t="shared" si="7"/>
        <v>0</v>
      </c>
      <c r="M29" s="2">
        <f>D29-[3]应付债务账面与申报情况!$I$28</f>
        <v>97379721.0106001</v>
      </c>
    </row>
    <row r="30" spans="1:12">
      <c r="A30" s="68"/>
      <c r="B30" s="61"/>
      <c r="C30" s="61"/>
      <c r="D30" s="65"/>
      <c r="E30" s="65"/>
      <c r="F30" s="65"/>
      <c r="G30" s="65"/>
      <c r="H30" s="65"/>
      <c r="I30" s="65"/>
      <c r="J30" s="65"/>
      <c r="K30" s="65"/>
      <c r="L30" s="65">
        <f t="shared" si="7"/>
        <v>0</v>
      </c>
    </row>
    <row r="31" spans="1:13">
      <c r="A31" s="68"/>
      <c r="B31" s="68" t="s">
        <v>11034</v>
      </c>
      <c r="C31" s="61" t="s">
        <v>11027</v>
      </c>
      <c r="D31" s="65">
        <f>COUNTA('工程费用 '!A:A)-1</f>
        <v>17</v>
      </c>
      <c r="E31" s="65">
        <f>COUNTIF('工程费用 '!AL:AL,E2)+COUNTIF('工程费用 '!AL:AL,H2)</f>
        <v>13</v>
      </c>
      <c r="F31" s="65"/>
      <c r="G31" s="65"/>
      <c r="H31" s="65"/>
      <c r="I31" s="65">
        <f>COUNTIF('工程费用 '!AL:AL,I2)</f>
        <v>4</v>
      </c>
      <c r="J31" s="65">
        <f>COUNTIF('工程费用 '!AL:AL,J2)</f>
        <v>0</v>
      </c>
      <c r="K31" s="65"/>
      <c r="L31" s="65">
        <f t="shared" si="7"/>
        <v>0</v>
      </c>
      <c r="M31" s="2">
        <f>D31-[3]应付债务账面与申报情况!$I$30</f>
        <v>0</v>
      </c>
    </row>
    <row r="32" spans="1:13">
      <c r="A32" s="68"/>
      <c r="B32" s="68"/>
      <c r="C32" s="61" t="s">
        <v>9757</v>
      </c>
      <c r="D32" s="65">
        <f>SUM('工程费用 '!N:N)</f>
        <v>97011543.16</v>
      </c>
      <c r="E32" s="65">
        <f>SUMIF('工程费用 '!AL:AL,E2,'工程费用 '!N:N)+SUMIF('工程费用 '!AL:AL,H2,'工程费用 '!N:N)</f>
        <v>69246301.16</v>
      </c>
      <c r="F32" s="65">
        <f>SUMIF('工程费用 '!AL:AL,F2,'工程费用 '!AE:AE)</f>
        <v>59663564.15</v>
      </c>
      <c r="G32" s="65">
        <f>E32-F32-H32</f>
        <v>9582737.01</v>
      </c>
      <c r="H32" s="65">
        <f>SUMIF('工程费用 '!AL:AL,H2,'工程费用 '!AK:AK)</f>
        <v>0</v>
      </c>
      <c r="I32" s="65">
        <f>SUMIF('工程费用 '!AL:AL,I2,'工程费用 '!N:N)</f>
        <v>27765242</v>
      </c>
      <c r="J32" s="65">
        <f>SUMIF('工程费用 '!AL:AL,J2,'工程费用 '!N:N)</f>
        <v>0</v>
      </c>
      <c r="K32" s="65">
        <f t="shared" si="8"/>
        <v>0</v>
      </c>
      <c r="L32" s="65">
        <f t="shared" si="7"/>
        <v>0</v>
      </c>
      <c r="M32" s="2">
        <f>D32-[3]应付债务账面与申报情况!$I$31</f>
        <v>0</v>
      </c>
    </row>
    <row r="33" spans="1:12">
      <c r="A33" s="68"/>
      <c r="B33" s="68"/>
      <c r="C33" s="61"/>
      <c r="D33" s="65"/>
      <c r="E33" s="65"/>
      <c r="F33" s="65"/>
      <c r="G33" s="65"/>
      <c r="H33" s="65"/>
      <c r="I33" s="65"/>
      <c r="J33" s="65"/>
      <c r="K33" s="65"/>
      <c r="L33" s="65">
        <f t="shared" si="7"/>
        <v>0</v>
      </c>
    </row>
    <row r="34" spans="1:12">
      <c r="A34" s="68"/>
      <c r="B34" s="64" t="s">
        <v>11035</v>
      </c>
      <c r="C34" s="61" t="s">
        <v>11027</v>
      </c>
      <c r="D34" s="65">
        <f t="shared" ref="D34:J34" si="9">D28+D31</f>
        <v>75</v>
      </c>
      <c r="E34" s="65">
        <f t="shared" si="9"/>
        <v>39</v>
      </c>
      <c r="F34" s="65">
        <f t="shared" si="9"/>
        <v>0</v>
      </c>
      <c r="G34" s="65">
        <f t="shared" si="9"/>
        <v>0</v>
      </c>
      <c r="H34" s="65">
        <f t="shared" si="9"/>
        <v>0</v>
      </c>
      <c r="I34" s="65">
        <f t="shared" si="9"/>
        <v>14</v>
      </c>
      <c r="J34" s="65">
        <f t="shared" si="9"/>
        <v>22</v>
      </c>
      <c r="K34" s="65"/>
      <c r="L34" s="65">
        <f t="shared" si="7"/>
        <v>0</v>
      </c>
    </row>
    <row r="35" spans="1:12">
      <c r="A35" s="68"/>
      <c r="B35" s="64"/>
      <c r="C35" s="61" t="s">
        <v>9757</v>
      </c>
      <c r="D35" s="65">
        <f t="shared" ref="D35:F35" si="10">D29+D32</f>
        <v>666409343.9</v>
      </c>
      <c r="E35" s="65">
        <f t="shared" si="10"/>
        <v>333068674.09</v>
      </c>
      <c r="F35" s="65">
        <f t="shared" si="10"/>
        <v>268562868.04</v>
      </c>
      <c r="G35" s="65">
        <f>E35-F35-H35</f>
        <v>33448096.71</v>
      </c>
      <c r="H35" s="65">
        <f t="shared" ref="H35:J35" si="11">H29+H32</f>
        <v>31057709.34</v>
      </c>
      <c r="I35" s="65">
        <f t="shared" si="11"/>
        <v>63127135.3</v>
      </c>
      <c r="J35" s="65">
        <f t="shared" si="11"/>
        <v>270213534.51</v>
      </c>
      <c r="K35" s="65">
        <f t="shared" ref="K35:K37" si="12">E35-F35-G35-H35</f>
        <v>0</v>
      </c>
      <c r="L35" s="65">
        <f t="shared" si="7"/>
        <v>0</v>
      </c>
    </row>
    <row r="36" spans="1:12">
      <c r="A36" s="61"/>
      <c r="B36" s="68"/>
      <c r="C36" s="61"/>
      <c r="D36" s="65"/>
      <c r="E36" s="65"/>
      <c r="F36" s="65"/>
      <c r="G36" s="65"/>
      <c r="H36" s="65"/>
      <c r="I36" s="65"/>
      <c r="J36" s="65"/>
      <c r="K36" s="65"/>
      <c r="L36" s="65">
        <f t="shared" si="7"/>
        <v>0</v>
      </c>
    </row>
    <row r="37" spans="1:12">
      <c r="A37" s="61"/>
      <c r="B37" s="61"/>
      <c r="C37" s="61"/>
      <c r="D37" s="65"/>
      <c r="E37" s="65"/>
      <c r="F37" s="65"/>
      <c r="G37" s="65"/>
      <c r="H37" s="65"/>
      <c r="I37" s="65"/>
      <c r="J37" s="65"/>
      <c r="K37" s="65"/>
      <c r="L37" s="65">
        <f t="shared" si="7"/>
        <v>0</v>
      </c>
    </row>
    <row r="38" spans="1:13">
      <c r="A38" s="63">
        <v>5</v>
      </c>
      <c r="B38" s="64" t="s">
        <v>11036</v>
      </c>
      <c r="C38" s="61" t="s">
        <v>11027</v>
      </c>
      <c r="D38" s="65">
        <f>COUNTA('地下商铺租赁 '!A:A)-1</f>
        <v>31</v>
      </c>
      <c r="E38" s="65">
        <f>COUNTIF('地下商铺租赁 '!W:W,E2)+COUNTIF('地下商铺租赁 '!W:W,H2)</f>
        <v>30</v>
      </c>
      <c r="F38" s="65"/>
      <c r="G38" s="65"/>
      <c r="H38" s="65"/>
      <c r="I38" s="65">
        <f>COUNTIF('地下商铺租赁 '!W:W,I2)</f>
        <v>1</v>
      </c>
      <c r="J38" s="65"/>
      <c r="K38" s="65"/>
      <c r="L38" s="65">
        <f t="shared" si="7"/>
        <v>0</v>
      </c>
      <c r="M38" s="2">
        <f>D38-[3]应付债务账面与申报情况!$I$44</f>
        <v>0</v>
      </c>
    </row>
    <row r="39" spans="1:13">
      <c r="A39" s="66"/>
      <c r="B39" s="64"/>
      <c r="C39" s="61" t="s">
        <v>9757</v>
      </c>
      <c r="D39" s="65">
        <f>SUM('地下商铺租赁 '!N:N)</f>
        <v>5063743.06</v>
      </c>
      <c r="E39" s="65">
        <f>SUMIF('地下商铺租赁 '!W:W,E2,'地下商铺租赁 '!N:N)+SUMIF('地下商铺租赁 '!W:W,H2,'地下商铺租赁 '!N:N)</f>
        <v>4876879.06</v>
      </c>
      <c r="F39" s="65">
        <f>SUMIF('地下商铺租赁 '!W:W,F2,'地下商铺租赁 '!V:V)</f>
        <v>4607272</v>
      </c>
      <c r="G39" s="65">
        <f>E39-F39-H39</f>
        <v>269607.060000001</v>
      </c>
      <c r="H39" s="65"/>
      <c r="I39" s="65">
        <f>SUMIF('地下商铺租赁 '!W:W,I2,'地下商铺租赁 '!N:N)</f>
        <v>186864</v>
      </c>
      <c r="J39" s="65"/>
      <c r="K39" s="65">
        <f>E39-F39-G39-H39</f>
        <v>0</v>
      </c>
      <c r="L39" s="65">
        <f t="shared" si="7"/>
        <v>0</v>
      </c>
      <c r="M39" s="2">
        <f>D39-[3]应付债务账面与申报情况!$I$45</f>
        <v>0</v>
      </c>
    </row>
    <row r="40" spans="1:12">
      <c r="A40" s="61"/>
      <c r="B40" s="61"/>
      <c r="C40" s="61"/>
      <c r="D40" s="65"/>
      <c r="E40" s="65"/>
      <c r="F40" s="65"/>
      <c r="G40" s="65"/>
      <c r="H40" s="65"/>
      <c r="I40" s="65"/>
      <c r="J40" s="65"/>
      <c r="K40" s="65"/>
      <c r="L40" s="65">
        <f t="shared" si="7"/>
        <v>0</v>
      </c>
    </row>
    <row r="41" spans="1:13">
      <c r="A41" s="63">
        <v>6</v>
      </c>
      <c r="B41" s="64" t="s">
        <v>11037</v>
      </c>
      <c r="C41" s="61" t="s">
        <v>11027</v>
      </c>
      <c r="D41" s="65">
        <v>1</v>
      </c>
      <c r="E41" s="65">
        <v>1</v>
      </c>
      <c r="F41" s="65"/>
      <c r="G41" s="65"/>
      <c r="H41" s="65"/>
      <c r="I41" s="65"/>
      <c r="J41" s="65"/>
      <c r="K41" s="65"/>
      <c r="L41" s="65">
        <f t="shared" si="7"/>
        <v>0</v>
      </c>
      <c r="M41" s="2">
        <f>D41-[3]应付债务账面与申报情况!$I$19-[3]应付债务账面与申报情况!$I$21</f>
        <v>0</v>
      </c>
    </row>
    <row r="42" spans="1:13">
      <c r="A42" s="66"/>
      <c r="B42" s="64"/>
      <c r="C42" s="61" t="s">
        <v>9757</v>
      </c>
      <c r="D42" s="65">
        <v>8711151.12</v>
      </c>
      <c r="E42" s="65">
        <v>8711151.12</v>
      </c>
      <c r="F42" s="65">
        <v>8711151.12</v>
      </c>
      <c r="G42" s="65">
        <f>E42-F42-H42</f>
        <v>0</v>
      </c>
      <c r="H42" s="65"/>
      <c r="I42" s="65"/>
      <c r="J42" s="65"/>
      <c r="K42" s="65">
        <f>E42-F42-G42-H42</f>
        <v>0</v>
      </c>
      <c r="L42" s="65">
        <f t="shared" si="7"/>
        <v>0</v>
      </c>
      <c r="M42" s="2">
        <f>D42-[3]应付债务账面与申报情况!$I$20-[3]应付债务账面与申报情况!$I$22</f>
        <v>0</v>
      </c>
    </row>
    <row r="43" spans="1:12">
      <c r="A43" s="61"/>
      <c r="B43" s="61"/>
      <c r="C43" s="61"/>
      <c r="D43" s="65"/>
      <c r="E43" s="65"/>
      <c r="F43" s="65"/>
      <c r="G43" s="65"/>
      <c r="H43" s="65"/>
      <c r="I43" s="65"/>
      <c r="J43" s="65"/>
      <c r="K43" s="65"/>
      <c r="L43" s="65">
        <f t="shared" si="7"/>
        <v>0</v>
      </c>
    </row>
    <row r="44" spans="1:12">
      <c r="A44" s="61"/>
      <c r="B44" s="61"/>
      <c r="C44" s="61"/>
      <c r="D44" s="65"/>
      <c r="E44" s="65"/>
      <c r="F44" s="65"/>
      <c r="G44" s="65"/>
      <c r="H44" s="65"/>
      <c r="I44" s="65"/>
      <c r="J44" s="65"/>
      <c r="K44" s="65"/>
      <c r="L44" s="65">
        <f t="shared" si="7"/>
        <v>0</v>
      </c>
    </row>
    <row r="45" spans="1:13">
      <c r="A45" s="68">
        <v>7</v>
      </c>
      <c r="B45" s="68" t="s">
        <v>11038</v>
      </c>
      <c r="C45" s="61" t="s">
        <v>11027</v>
      </c>
      <c r="D45" s="65">
        <v>92</v>
      </c>
      <c r="E45" s="65">
        <v>92</v>
      </c>
      <c r="F45" s="65"/>
      <c r="G45" s="65"/>
      <c r="H45" s="65"/>
      <c r="I45" s="65"/>
      <c r="J45" s="65"/>
      <c r="K45" s="65"/>
      <c r="L45" s="65">
        <f t="shared" si="7"/>
        <v>0</v>
      </c>
      <c r="M45" s="2">
        <f>D45-[3]应付债务账面与申报情况!$I$52</f>
        <v>0</v>
      </c>
    </row>
    <row r="46" spans="1:13">
      <c r="A46" s="68"/>
      <c r="B46" s="68"/>
      <c r="C46" s="61" t="s">
        <v>9757</v>
      </c>
      <c r="D46" s="65">
        <v>4529150</v>
      </c>
      <c r="E46" s="65">
        <v>4529150</v>
      </c>
      <c r="F46" s="65">
        <v>4529150</v>
      </c>
      <c r="G46" s="65"/>
      <c r="H46" s="65"/>
      <c r="I46" s="65"/>
      <c r="J46" s="65"/>
      <c r="K46" s="65">
        <f t="shared" ref="K46:K50" si="13">E46-F46-G46-H46</f>
        <v>0</v>
      </c>
      <c r="L46" s="65">
        <f t="shared" si="7"/>
        <v>0</v>
      </c>
      <c r="M46" s="2">
        <f>D46-[3]应付债务账面与申报情况!$I$53</f>
        <v>0</v>
      </c>
    </row>
    <row r="47" spans="1:12">
      <c r="A47" s="68"/>
      <c r="B47" s="61"/>
      <c r="C47" s="61"/>
      <c r="D47" s="65"/>
      <c r="E47" s="65"/>
      <c r="F47" s="65"/>
      <c r="G47" s="65"/>
      <c r="H47" s="65"/>
      <c r="I47" s="65"/>
      <c r="J47" s="65"/>
      <c r="K47" s="65"/>
      <c r="L47" s="65">
        <f t="shared" si="7"/>
        <v>0</v>
      </c>
    </row>
    <row r="48" spans="1:13">
      <c r="A48" s="68"/>
      <c r="B48" s="68" t="s">
        <v>11039</v>
      </c>
      <c r="C48" s="61" t="s">
        <v>11027</v>
      </c>
      <c r="D48" s="65">
        <v>46</v>
      </c>
      <c r="E48" s="65">
        <v>46</v>
      </c>
      <c r="F48" s="65"/>
      <c r="G48" s="65"/>
      <c r="H48" s="65"/>
      <c r="I48" s="65"/>
      <c r="J48" s="65"/>
      <c r="K48" s="65"/>
      <c r="L48" s="65">
        <f t="shared" si="7"/>
        <v>0</v>
      </c>
      <c r="M48" s="2">
        <f>D48-[3]应付债务账面与申报情况!$I$49</f>
        <v>0</v>
      </c>
    </row>
    <row r="49" spans="1:13">
      <c r="A49" s="68"/>
      <c r="B49" s="68"/>
      <c r="C49" s="61" t="s">
        <v>9757</v>
      </c>
      <c r="D49" s="65">
        <v>2176870</v>
      </c>
      <c r="E49" s="65">
        <v>2176870</v>
      </c>
      <c r="F49" s="65">
        <v>2176870</v>
      </c>
      <c r="G49" s="65"/>
      <c r="H49" s="65"/>
      <c r="I49" s="65"/>
      <c r="J49" s="65"/>
      <c r="K49" s="65">
        <f t="shared" si="13"/>
        <v>0</v>
      </c>
      <c r="L49" s="65">
        <f t="shared" si="7"/>
        <v>0</v>
      </c>
      <c r="M49" s="2">
        <f>D49-[3]应付债务账面与申报情况!$I$50</f>
        <v>0</v>
      </c>
    </row>
    <row r="50" spans="1:12">
      <c r="A50" s="68"/>
      <c r="B50" s="61"/>
      <c r="C50" s="61"/>
      <c r="D50" s="65"/>
      <c r="E50" s="65"/>
      <c r="F50" s="65"/>
      <c r="G50" s="65"/>
      <c r="H50" s="65"/>
      <c r="I50" s="65"/>
      <c r="J50" s="65"/>
      <c r="K50" s="65"/>
      <c r="L50" s="65">
        <f t="shared" si="7"/>
        <v>0</v>
      </c>
    </row>
    <row r="51" spans="1:12">
      <c r="A51" s="68"/>
      <c r="B51" s="64" t="s">
        <v>11040</v>
      </c>
      <c r="C51" s="61" t="s">
        <v>11027</v>
      </c>
      <c r="D51" s="65">
        <f>D45+D48</f>
        <v>138</v>
      </c>
      <c r="E51" s="65">
        <f>E45+E48</f>
        <v>138</v>
      </c>
      <c r="F51" s="65"/>
      <c r="G51" s="65"/>
      <c r="H51" s="65"/>
      <c r="I51" s="65"/>
      <c r="J51" s="65"/>
      <c r="K51" s="65"/>
      <c r="L51" s="65">
        <f t="shared" si="7"/>
        <v>0</v>
      </c>
    </row>
    <row r="52" spans="1:12">
      <c r="A52" s="68"/>
      <c r="B52" s="64"/>
      <c r="C52" s="61" t="s">
        <v>9757</v>
      </c>
      <c r="D52" s="65">
        <f t="shared" ref="D52:F52" si="14">D46+D49</f>
        <v>6706020</v>
      </c>
      <c r="E52" s="65">
        <f t="shared" si="14"/>
        <v>6706020</v>
      </c>
      <c r="F52" s="65">
        <f t="shared" si="14"/>
        <v>6706020</v>
      </c>
      <c r="G52" s="65"/>
      <c r="H52" s="65"/>
      <c r="I52" s="65"/>
      <c r="J52" s="65"/>
      <c r="K52" s="65"/>
      <c r="L52" s="65">
        <f t="shared" si="7"/>
        <v>0</v>
      </c>
    </row>
    <row r="53" spans="1:12">
      <c r="A53" s="61"/>
      <c r="B53" s="61"/>
      <c r="C53" s="61"/>
      <c r="D53" s="65"/>
      <c r="E53" s="65"/>
      <c r="F53" s="65"/>
      <c r="G53" s="65"/>
      <c r="H53" s="65"/>
      <c r="I53" s="65"/>
      <c r="J53" s="65"/>
      <c r="K53" s="65">
        <f t="shared" ref="K52:K55" si="15">E53-F53-G53-H53</f>
        <v>0</v>
      </c>
      <c r="L53" s="65">
        <f t="shared" si="7"/>
        <v>0</v>
      </c>
    </row>
    <row r="54" spans="1:13">
      <c r="A54" s="63"/>
      <c r="B54" s="63" t="s">
        <v>11041</v>
      </c>
      <c r="C54" s="61"/>
      <c r="D54" s="65" t="e">
        <f t="shared" ref="D54:J54" si="16">D3+D6+D18+D34+D38+D41+D51</f>
        <v>#REF!</v>
      </c>
      <c r="E54" s="65" t="e">
        <f t="shared" si="16"/>
        <v>#REF!</v>
      </c>
      <c r="F54" s="65">
        <f t="shared" si="16"/>
        <v>0</v>
      </c>
      <c r="G54" s="65">
        <f t="shared" si="16"/>
        <v>0</v>
      </c>
      <c r="H54" s="65">
        <f t="shared" si="16"/>
        <v>0</v>
      </c>
      <c r="I54" s="65" t="e">
        <f t="shared" si="16"/>
        <v>#REF!</v>
      </c>
      <c r="J54" s="65" t="e">
        <f t="shared" si="16"/>
        <v>#REF!</v>
      </c>
      <c r="K54" s="65"/>
      <c r="L54" s="65" t="e">
        <f t="shared" si="7"/>
        <v>#REF!</v>
      </c>
      <c r="M54" s="2" t="e">
        <f>D54-[3]应付债务账面与申报情况!$I$54</f>
        <v>#REF!</v>
      </c>
    </row>
    <row r="55" spans="1:13">
      <c r="A55" s="66"/>
      <c r="B55" s="66"/>
      <c r="C55" s="61"/>
      <c r="D55" s="65" t="e">
        <f>D4+D7+D19+D35+D39+D42+D52</f>
        <v>#REF!</v>
      </c>
      <c r="E55" s="65" t="e">
        <f t="shared" ref="D55:J55" si="17">E4+E7+E19+E35+E39+E42+E52</f>
        <v>#REF!</v>
      </c>
      <c r="F55" s="65" t="e">
        <f t="shared" si="17"/>
        <v>#REF!</v>
      </c>
      <c r="G55" s="65" t="e">
        <f t="shared" si="17"/>
        <v>#REF!</v>
      </c>
      <c r="H55" s="65" t="e">
        <f t="shared" si="17"/>
        <v>#REF!</v>
      </c>
      <c r="I55" s="65" t="e">
        <f t="shared" si="17"/>
        <v>#REF!</v>
      </c>
      <c r="J55" s="65" t="e">
        <f t="shared" si="17"/>
        <v>#REF!</v>
      </c>
      <c r="K55" s="65" t="e">
        <f t="shared" si="15"/>
        <v>#REF!</v>
      </c>
      <c r="L55" s="65" t="e">
        <f t="shared" si="7"/>
        <v>#REF!</v>
      </c>
      <c r="M55" s="2" t="e">
        <f>D55-[3]应付债务账面与申报情况!$I$55</f>
        <v>#REF!</v>
      </c>
    </row>
  </sheetData>
  <mergeCells count="24">
    <mergeCell ref="A3:A4"/>
    <mergeCell ref="A6:A7"/>
    <mergeCell ref="A9:A19"/>
    <mergeCell ref="A28:A35"/>
    <mergeCell ref="A38:A39"/>
    <mergeCell ref="A41:A42"/>
    <mergeCell ref="A45:A52"/>
    <mergeCell ref="A54:A55"/>
    <mergeCell ref="B3:B4"/>
    <mergeCell ref="B6:B7"/>
    <mergeCell ref="B9:B10"/>
    <mergeCell ref="B12:B13"/>
    <mergeCell ref="B15:B16"/>
    <mergeCell ref="B18:B19"/>
    <mergeCell ref="B21:B22"/>
    <mergeCell ref="B28:B29"/>
    <mergeCell ref="B31:B32"/>
    <mergeCell ref="B34:B35"/>
    <mergeCell ref="B38:B39"/>
    <mergeCell ref="B41:B42"/>
    <mergeCell ref="B45:B46"/>
    <mergeCell ref="B48:B49"/>
    <mergeCell ref="B51:B52"/>
    <mergeCell ref="B54:B55"/>
  </mergeCells>
  <pageMargins left="0.75" right="0.75" top="1" bottom="1" header="0.5" footer="0.5"/>
  <headerFooter/>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55"/>
  <sheetViews>
    <sheetView workbookViewId="0">
      <selection activeCell="H61" sqref="H61"/>
    </sheetView>
  </sheetViews>
  <sheetFormatPr defaultColWidth="8.72727272727273" defaultRowHeight="14"/>
  <cols>
    <col min="4" max="6" width="19.6363636363636" style="2"/>
    <col min="7" max="7" width="16.2727272727273" style="2"/>
    <col min="8" max="8" width="24.5363636363636" style="2" customWidth="1"/>
    <col min="9" max="9" width="22.3636363636364" style="2" customWidth="1"/>
    <col min="10" max="10" width="24" style="2" customWidth="1"/>
    <col min="11" max="14" width="8.72727272727273" style="2"/>
  </cols>
  <sheetData>
    <row r="2" spans="2:12">
      <c r="B2" t="s">
        <v>11022</v>
      </c>
      <c r="D2" s="2" t="s">
        <v>11013</v>
      </c>
      <c r="E2" s="2" t="s">
        <v>11042</v>
      </c>
      <c r="F2" s="2" t="s">
        <v>11015</v>
      </c>
      <c r="G2" s="2" t="s">
        <v>11016</v>
      </c>
      <c r="H2" s="2" t="s">
        <v>11017</v>
      </c>
      <c r="I2" s="2" t="s">
        <v>11018</v>
      </c>
      <c r="J2" s="2" t="s">
        <v>11019</v>
      </c>
      <c r="K2" s="2" t="s">
        <v>11020</v>
      </c>
      <c r="L2" s="2" t="s">
        <v>11021</v>
      </c>
    </row>
    <row r="3" spans="1:13">
      <c r="A3">
        <v>1</v>
      </c>
      <c r="B3" t="s">
        <v>11026</v>
      </c>
      <c r="C3" t="s">
        <v>11027</v>
      </c>
      <c r="D3" s="2">
        <v>73</v>
      </c>
      <c r="E3" s="2">
        <v>70</v>
      </c>
      <c r="I3" s="2">
        <v>2</v>
      </c>
      <c r="J3" s="2">
        <v>1</v>
      </c>
      <c r="L3" s="2">
        <v>0</v>
      </c>
      <c r="M3" s="2">
        <v>0</v>
      </c>
    </row>
    <row r="4" spans="3:13">
      <c r="C4" t="s">
        <v>9757</v>
      </c>
      <c r="D4" s="2">
        <v>31897953.4646657</v>
      </c>
      <c r="E4" s="2">
        <v>31025091.4646657</v>
      </c>
      <c r="F4" s="2">
        <v>30005807.8193</v>
      </c>
      <c r="G4" s="2">
        <v>1019283.64536575</v>
      </c>
      <c r="I4" s="2">
        <v>424890</v>
      </c>
      <c r="J4" s="2">
        <v>447972</v>
      </c>
      <c r="K4" s="2">
        <v>0</v>
      </c>
      <c r="L4" s="2">
        <v>0</v>
      </c>
      <c r="M4" s="2">
        <v>0</v>
      </c>
    </row>
    <row r="5" spans="11:12">
      <c r="K5" s="2">
        <v>0</v>
      </c>
      <c r="L5" s="2">
        <v>0</v>
      </c>
    </row>
    <row r="6" spans="1:13">
      <c r="A6">
        <v>2</v>
      </c>
      <c r="B6" t="s">
        <v>11028</v>
      </c>
      <c r="C6" t="s">
        <v>11027</v>
      </c>
      <c r="D6" s="2">
        <v>57</v>
      </c>
      <c r="E6" s="2">
        <v>37</v>
      </c>
      <c r="J6" s="2">
        <v>20</v>
      </c>
      <c r="L6" s="2">
        <v>0</v>
      </c>
      <c r="M6" s="2">
        <v>0</v>
      </c>
    </row>
    <row r="7" spans="3:13">
      <c r="C7" t="s">
        <v>9757</v>
      </c>
      <c r="D7" s="2">
        <v>24014494.65</v>
      </c>
      <c r="E7" s="2">
        <v>10681109.64</v>
      </c>
      <c r="F7" s="2">
        <v>7283856.97</v>
      </c>
      <c r="G7" s="2">
        <v>1976523.57</v>
      </c>
      <c r="H7" s="2">
        <v>1420729.1</v>
      </c>
      <c r="J7" s="2">
        <v>13333385.01</v>
      </c>
      <c r="K7" s="2">
        <v>0</v>
      </c>
      <c r="L7" s="2">
        <v>0</v>
      </c>
      <c r="M7" s="2">
        <v>0</v>
      </c>
    </row>
    <row r="8" spans="11:12">
      <c r="K8" s="2">
        <v>0</v>
      </c>
      <c r="L8" s="2">
        <v>0</v>
      </c>
    </row>
    <row r="9" spans="1:12">
      <c r="A9">
        <v>3</v>
      </c>
      <c r="B9" t="s">
        <v>11029</v>
      </c>
      <c r="C9" t="s">
        <v>11027</v>
      </c>
      <c r="D9" s="2">
        <v>8</v>
      </c>
      <c r="E9" s="2">
        <v>5</v>
      </c>
      <c r="J9" s="2">
        <v>3</v>
      </c>
      <c r="L9" s="2">
        <v>0</v>
      </c>
    </row>
    <row r="10" spans="3:12">
      <c r="C10" t="s">
        <v>9757</v>
      </c>
      <c r="D10" s="2">
        <v>351344454.12</v>
      </c>
      <c r="E10" s="2">
        <v>126365826.36</v>
      </c>
      <c r="F10" s="2">
        <v>126353224.28</v>
      </c>
      <c r="G10" s="2">
        <v>12602.0799999833</v>
      </c>
      <c r="J10" s="2">
        <v>224978627.76</v>
      </c>
      <c r="K10" s="2">
        <v>0</v>
      </c>
      <c r="L10" s="2">
        <v>0</v>
      </c>
    </row>
    <row r="11" spans="11:12">
      <c r="K11" s="2">
        <v>0</v>
      </c>
      <c r="L11" s="2">
        <v>0</v>
      </c>
    </row>
    <row r="12" spans="2:12">
      <c r="B12" t="s">
        <v>11030</v>
      </c>
      <c r="C12" t="s">
        <v>11027</v>
      </c>
      <c r="D12" s="2">
        <v>6</v>
      </c>
      <c r="E12" s="2">
        <v>2</v>
      </c>
      <c r="I12" s="2">
        <v>1</v>
      </c>
      <c r="J12" s="2">
        <v>3</v>
      </c>
      <c r="L12" s="2">
        <v>0</v>
      </c>
    </row>
    <row r="13" spans="3:12">
      <c r="C13" t="s">
        <v>9757</v>
      </c>
      <c r="D13" s="2">
        <v>2839248507.78347</v>
      </c>
      <c r="E13" s="2">
        <v>2715959295.32347</v>
      </c>
      <c r="F13" s="2">
        <v>2673470753.88</v>
      </c>
      <c r="G13" s="2">
        <v>15232496.18347</v>
      </c>
      <c r="H13" s="2">
        <v>27256045.26</v>
      </c>
      <c r="I13" s="2">
        <v>39917808</v>
      </c>
      <c r="J13" s="2">
        <v>83371404.46</v>
      </c>
      <c r="K13" s="2">
        <v>0</v>
      </c>
      <c r="L13" s="2">
        <v>0</v>
      </c>
    </row>
    <row r="14" spans="11:12">
      <c r="K14" s="2">
        <v>0</v>
      </c>
      <c r="L14" s="2">
        <v>0</v>
      </c>
    </row>
    <row r="15" spans="2:12">
      <c r="B15" t="s">
        <v>11031</v>
      </c>
      <c r="C15" t="s">
        <v>11027</v>
      </c>
      <c r="D15" s="2">
        <v>181</v>
      </c>
      <c r="E15" s="2">
        <v>10</v>
      </c>
      <c r="I15" s="2">
        <v>8</v>
      </c>
      <c r="J15" s="2">
        <v>163</v>
      </c>
      <c r="L15" s="2">
        <v>0</v>
      </c>
    </row>
    <row r="16" spans="3:12">
      <c r="C16" t="s">
        <v>9757</v>
      </c>
      <c r="D16" s="2">
        <v>2471214343.35667</v>
      </c>
      <c r="E16" s="2">
        <v>711058284.24</v>
      </c>
      <c r="F16" s="2">
        <v>706773383.9</v>
      </c>
      <c r="G16" s="2">
        <v>4284900.33999991</v>
      </c>
      <c r="H16" s="2">
        <v>0</v>
      </c>
      <c r="I16" s="2">
        <v>130071032.46</v>
      </c>
      <c r="J16" s="2">
        <v>1630085026.65667</v>
      </c>
      <c r="K16" s="2">
        <v>0</v>
      </c>
      <c r="L16" s="2">
        <v>0</v>
      </c>
    </row>
    <row r="17" spans="11:12">
      <c r="K17" s="2">
        <v>0</v>
      </c>
      <c r="L17" s="2">
        <v>0</v>
      </c>
    </row>
    <row r="18" spans="2:13">
      <c r="B18" t="s">
        <v>11032</v>
      </c>
      <c r="C18" t="s">
        <v>11027</v>
      </c>
      <c r="D18" s="2">
        <v>195</v>
      </c>
      <c r="E18" s="2">
        <v>17</v>
      </c>
      <c r="F18" s="2">
        <v>0</v>
      </c>
      <c r="G18" s="2">
        <v>0</v>
      </c>
      <c r="H18" s="2">
        <v>0</v>
      </c>
      <c r="I18" s="2">
        <v>9</v>
      </c>
      <c r="J18" s="2">
        <v>169</v>
      </c>
      <c r="L18" s="2">
        <v>0</v>
      </c>
      <c r="M18" s="2">
        <v>0</v>
      </c>
    </row>
    <row r="19" spans="3:13">
      <c r="C19" t="s">
        <v>9757</v>
      </c>
      <c r="D19" s="2">
        <v>5661807305.26014</v>
      </c>
      <c r="E19" s="2">
        <v>3553383405.92347</v>
      </c>
      <c r="F19" s="2">
        <v>3506597362.06</v>
      </c>
      <c r="G19" s="2">
        <v>19529998.6034699</v>
      </c>
      <c r="H19" s="2">
        <v>27256045.26</v>
      </c>
      <c r="I19" s="2">
        <v>169988840.46</v>
      </c>
      <c r="J19" s="2">
        <v>1938435058.87667</v>
      </c>
      <c r="K19" s="2">
        <v>-2.98023223876953e-7</v>
      </c>
      <c r="L19" s="2">
        <v>0</v>
      </c>
      <c r="M19" s="2">
        <v>0</v>
      </c>
    </row>
    <row r="20" spans="11:12">
      <c r="K20" s="2">
        <v>0</v>
      </c>
      <c r="L20" s="2">
        <v>0</v>
      </c>
    </row>
    <row r="21" spans="11:12">
      <c r="K21" s="2">
        <v>0</v>
      </c>
      <c r="L21" s="2">
        <v>0</v>
      </c>
    </row>
    <row r="28" spans="1:13">
      <c r="A28">
        <v>4</v>
      </c>
      <c r="B28" t="s">
        <v>11033</v>
      </c>
      <c r="C28" t="s">
        <v>11027</v>
      </c>
      <c r="D28" s="2">
        <v>41</v>
      </c>
      <c r="E28" s="2">
        <v>4</v>
      </c>
      <c r="J28" s="2">
        <v>37</v>
      </c>
      <c r="L28" s="2">
        <v>0</v>
      </c>
      <c r="M28" s="2">
        <v>0</v>
      </c>
    </row>
    <row r="29" spans="3:13">
      <c r="C29" t="s">
        <v>9757</v>
      </c>
      <c r="D29" s="2">
        <v>467018079.7294</v>
      </c>
      <c r="E29" s="2">
        <v>17553554.37</v>
      </c>
      <c r="F29" s="2">
        <v>15042128.16</v>
      </c>
      <c r="G29" s="2">
        <v>2511426.21</v>
      </c>
      <c r="H29" s="2">
        <v>0</v>
      </c>
      <c r="J29" s="2">
        <v>449464525.3594</v>
      </c>
      <c r="K29" s="2">
        <v>0</v>
      </c>
      <c r="L29" s="2">
        <v>0</v>
      </c>
      <c r="M29" s="2">
        <v>0</v>
      </c>
    </row>
    <row r="30" spans="11:12">
      <c r="K30" s="2">
        <v>0</v>
      </c>
      <c r="L30" s="2">
        <v>0</v>
      </c>
    </row>
    <row r="31" spans="2:13">
      <c r="B31" t="s">
        <v>11034</v>
      </c>
      <c r="C31" t="s">
        <v>11027</v>
      </c>
      <c r="D31" s="2">
        <v>17</v>
      </c>
      <c r="E31" s="2">
        <v>16</v>
      </c>
      <c r="J31" s="2">
        <v>1</v>
      </c>
      <c r="L31" s="2">
        <v>0</v>
      </c>
      <c r="M31" s="2">
        <v>0</v>
      </c>
    </row>
    <row r="32" spans="3:13">
      <c r="C32" t="s">
        <v>9757</v>
      </c>
      <c r="D32" s="2">
        <v>97011543.16</v>
      </c>
      <c r="E32" s="2">
        <v>96511543.16</v>
      </c>
      <c r="F32" s="2">
        <v>59663564.15</v>
      </c>
      <c r="G32" s="2">
        <v>36847979.01</v>
      </c>
      <c r="J32" s="2">
        <v>500000</v>
      </c>
      <c r="K32" s="2">
        <v>0</v>
      </c>
      <c r="L32" s="2">
        <v>1.49011611938477e-8</v>
      </c>
      <c r="M32" s="2">
        <v>0</v>
      </c>
    </row>
    <row r="33" spans="11:12">
      <c r="K33" s="2">
        <v>0</v>
      </c>
      <c r="L33" s="2">
        <v>0</v>
      </c>
    </row>
    <row r="34" spans="2:12">
      <c r="B34" t="s">
        <v>11035</v>
      </c>
      <c r="C34" t="s">
        <v>11027</v>
      </c>
      <c r="D34" s="2">
        <v>58</v>
      </c>
      <c r="E34" s="2">
        <v>20</v>
      </c>
      <c r="F34" s="2">
        <v>0</v>
      </c>
      <c r="G34" s="2">
        <v>0</v>
      </c>
      <c r="H34" s="2">
        <v>0</v>
      </c>
      <c r="I34" s="2">
        <v>0</v>
      </c>
      <c r="J34" s="2">
        <v>38</v>
      </c>
      <c r="L34" s="2">
        <v>0</v>
      </c>
    </row>
    <row r="35" spans="3:12">
      <c r="C35" t="s">
        <v>9757</v>
      </c>
      <c r="D35" s="2">
        <v>564029622.8894</v>
      </c>
      <c r="E35" s="2">
        <v>114065097.53</v>
      </c>
      <c r="F35" s="2">
        <v>74705692.31</v>
      </c>
      <c r="G35" s="2">
        <v>39359405.22</v>
      </c>
      <c r="H35" s="2">
        <v>0</v>
      </c>
      <c r="I35" s="2">
        <v>0</v>
      </c>
      <c r="J35" s="2">
        <v>449964525.3594</v>
      </c>
      <c r="K35" s="2">
        <v>0</v>
      </c>
      <c r="L35" s="2">
        <v>0</v>
      </c>
    </row>
    <row r="36" spans="11:12">
      <c r="K36" s="2">
        <v>0</v>
      </c>
      <c r="L36" s="2">
        <v>0</v>
      </c>
    </row>
    <row r="37" spans="11:12">
      <c r="K37" s="2">
        <v>0</v>
      </c>
      <c r="L37" s="2">
        <v>0</v>
      </c>
    </row>
    <row r="38" spans="1:13">
      <c r="A38">
        <v>5</v>
      </c>
      <c r="B38" t="s">
        <v>11036</v>
      </c>
      <c r="C38" t="s">
        <v>11027</v>
      </c>
      <c r="D38" s="2">
        <v>31</v>
      </c>
      <c r="E38" s="2">
        <v>30</v>
      </c>
      <c r="I38" s="2">
        <v>1</v>
      </c>
      <c r="L38" s="2">
        <v>0</v>
      </c>
      <c r="M38" s="2">
        <v>0</v>
      </c>
    </row>
    <row r="39" spans="3:13">
      <c r="C39" t="s">
        <v>9757</v>
      </c>
      <c r="D39" s="2">
        <v>5063743.06</v>
      </c>
      <c r="E39" s="2">
        <v>4876879.06</v>
      </c>
      <c r="F39" s="2">
        <v>4607272</v>
      </c>
      <c r="G39" s="2">
        <v>269607.060000001</v>
      </c>
      <c r="I39" s="2">
        <v>186864</v>
      </c>
      <c r="K39" s="2">
        <v>0</v>
      </c>
      <c r="L39" s="2">
        <v>-9.31322574615479e-10</v>
      </c>
      <c r="M39" s="2">
        <v>0</v>
      </c>
    </row>
    <row r="40" spans="11:12">
      <c r="K40" s="2">
        <v>0</v>
      </c>
      <c r="L40" s="2">
        <v>0</v>
      </c>
    </row>
    <row r="41" spans="1:13">
      <c r="A41">
        <v>6</v>
      </c>
      <c r="B41" t="s">
        <v>11037</v>
      </c>
      <c r="C41" t="s">
        <v>11027</v>
      </c>
      <c r="D41" s="2">
        <v>1</v>
      </c>
      <c r="E41" s="2">
        <v>1</v>
      </c>
      <c r="L41" s="2">
        <v>0</v>
      </c>
      <c r="M41" s="2">
        <v>0</v>
      </c>
    </row>
    <row r="42" spans="3:13">
      <c r="C42" t="s">
        <v>9757</v>
      </c>
      <c r="D42" s="2">
        <v>8711151.12</v>
      </c>
      <c r="E42" s="2">
        <v>8711151.12</v>
      </c>
      <c r="F42" s="2">
        <v>8711151.12</v>
      </c>
      <c r="G42" s="2">
        <v>0</v>
      </c>
      <c r="K42" s="2">
        <v>0</v>
      </c>
      <c r="L42" s="2">
        <v>0</v>
      </c>
      <c r="M42" s="2">
        <v>0</v>
      </c>
    </row>
    <row r="43" spans="11:12">
      <c r="K43" s="2">
        <v>0</v>
      </c>
      <c r="L43" s="2">
        <v>0</v>
      </c>
    </row>
    <row r="44" spans="11:12">
      <c r="K44" s="2">
        <v>0</v>
      </c>
      <c r="L44" s="2">
        <v>0</v>
      </c>
    </row>
    <row r="45" spans="1:13">
      <c r="A45">
        <v>7</v>
      </c>
      <c r="B45" t="s">
        <v>11038</v>
      </c>
      <c r="C45" t="s">
        <v>11027</v>
      </c>
      <c r="D45" s="2">
        <v>1</v>
      </c>
      <c r="E45" s="2">
        <v>1</v>
      </c>
      <c r="L45" s="2">
        <v>0</v>
      </c>
      <c r="M45" s="2">
        <v>0</v>
      </c>
    </row>
    <row r="46" spans="3:13">
      <c r="C46" t="s">
        <v>9757</v>
      </c>
      <c r="D46" s="2">
        <v>5231393</v>
      </c>
      <c r="E46" s="2">
        <v>5231393</v>
      </c>
      <c r="F46" s="2">
        <v>5231393</v>
      </c>
      <c r="K46" s="2">
        <v>0</v>
      </c>
      <c r="L46" s="2">
        <v>0</v>
      </c>
      <c r="M46" s="2">
        <v>0</v>
      </c>
    </row>
    <row r="47" spans="11:12">
      <c r="K47" s="2">
        <v>0</v>
      </c>
      <c r="L47" s="2">
        <v>0</v>
      </c>
    </row>
    <row r="48" spans="2:13">
      <c r="B48" t="s">
        <v>11039</v>
      </c>
      <c r="C48" t="s">
        <v>11027</v>
      </c>
      <c r="D48" s="2">
        <v>1</v>
      </c>
      <c r="E48" s="2">
        <v>1</v>
      </c>
      <c r="L48" s="2">
        <v>0</v>
      </c>
      <c r="M48" s="2">
        <v>0</v>
      </c>
    </row>
    <row r="49" spans="3:13">
      <c r="C49" t="s">
        <v>9757</v>
      </c>
      <c r="D49" s="2">
        <v>2199281</v>
      </c>
      <c r="E49" s="2">
        <v>2199281</v>
      </c>
      <c r="F49" s="2">
        <v>2199281</v>
      </c>
      <c r="K49" s="2">
        <v>0</v>
      </c>
      <c r="L49" s="2">
        <v>0</v>
      </c>
      <c r="M49" s="2">
        <v>0</v>
      </c>
    </row>
    <row r="50" spans="11:12">
      <c r="K50" s="2">
        <v>0</v>
      </c>
      <c r="L50" s="2">
        <v>0</v>
      </c>
    </row>
    <row r="51" spans="2:12">
      <c r="B51" t="s">
        <v>11040</v>
      </c>
      <c r="C51" t="s">
        <v>11027</v>
      </c>
      <c r="D51" s="2">
        <v>2</v>
      </c>
      <c r="E51" s="2">
        <v>2</v>
      </c>
      <c r="L51" s="2">
        <v>0</v>
      </c>
    </row>
    <row r="52" spans="3:12">
      <c r="C52" t="s">
        <v>9757</v>
      </c>
      <c r="D52" s="2">
        <v>7430674</v>
      </c>
      <c r="E52" s="2">
        <v>7430674</v>
      </c>
      <c r="F52" s="2">
        <v>7430674</v>
      </c>
      <c r="K52" s="2">
        <v>0</v>
      </c>
      <c r="L52" s="2">
        <v>0</v>
      </c>
    </row>
    <row r="53" spans="11:12">
      <c r="K53" s="2">
        <v>0</v>
      </c>
      <c r="L53" s="2">
        <v>0</v>
      </c>
    </row>
    <row r="54" spans="2:13">
      <c r="B54" t="s">
        <v>11041</v>
      </c>
      <c r="D54" s="2">
        <v>417</v>
      </c>
      <c r="E54" s="2">
        <v>177</v>
      </c>
      <c r="F54" s="2">
        <v>0</v>
      </c>
      <c r="G54" s="2">
        <v>0</v>
      </c>
      <c r="H54" s="2">
        <v>0</v>
      </c>
      <c r="I54" s="2">
        <v>12</v>
      </c>
      <c r="J54" s="2">
        <v>228</v>
      </c>
      <c r="L54" s="2">
        <v>0</v>
      </c>
      <c r="M54" s="2">
        <v>0</v>
      </c>
    </row>
    <row r="55" spans="4:13">
      <c r="D55" s="2">
        <v>6302954944.4442</v>
      </c>
      <c r="E55" s="2">
        <v>3730173408.73813</v>
      </c>
      <c r="F55" s="2">
        <v>3639341816.2793</v>
      </c>
      <c r="G55" s="2">
        <v>62154818.0988356</v>
      </c>
      <c r="H55" s="2">
        <v>28676774.36</v>
      </c>
      <c r="I55" s="2">
        <v>170600594.46</v>
      </c>
      <c r="J55" s="2">
        <v>2402180941.24607</v>
      </c>
      <c r="K55" s="2">
        <v>-4.91738319396973e-7</v>
      </c>
      <c r="L55" s="2">
        <v>0</v>
      </c>
      <c r="M55" s="2">
        <v>0</v>
      </c>
    </row>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O69"/>
  <sheetViews>
    <sheetView workbookViewId="0">
      <pane xSplit="3" ySplit="2" topLeftCell="D54" activePane="bottomRight" state="frozen"/>
      <selection/>
      <selection pane="topRight"/>
      <selection pane="bottomLeft"/>
      <selection pane="bottomRight" activeCell="H61" sqref="H61"/>
    </sheetView>
  </sheetViews>
  <sheetFormatPr defaultColWidth="8.72727272727273" defaultRowHeight="14"/>
  <cols>
    <col min="4" max="4" width="19.6363636363636" customWidth="1"/>
    <col min="5" max="5" width="18.5363636363636" customWidth="1"/>
    <col min="6" max="6" width="23" customWidth="1"/>
    <col min="7" max="7" width="21.9090909090909" customWidth="1"/>
    <col min="8" max="8" width="30.9090909090909" customWidth="1"/>
    <col min="9" max="10" width="20.8181818181818" customWidth="1"/>
    <col min="11" max="12" width="6.53636363636364" customWidth="1"/>
    <col min="13" max="13" width="15.1818181818182" customWidth="1"/>
    <col min="14" max="14" width="6.53636363636364" customWidth="1"/>
  </cols>
  <sheetData>
    <row r="2" spans="2:14">
      <c r="B2" t="s">
        <v>11022</v>
      </c>
      <c r="D2" s="2" t="s">
        <v>11013</v>
      </c>
      <c r="E2" s="2" t="s">
        <v>11042</v>
      </c>
      <c r="F2" s="2" t="s">
        <v>11015</v>
      </c>
      <c r="G2" s="2" t="s">
        <v>11016</v>
      </c>
      <c r="H2" s="2" t="s">
        <v>11017</v>
      </c>
      <c r="I2" s="2" t="s">
        <v>11018</v>
      </c>
      <c r="J2" s="2" t="s">
        <v>11019</v>
      </c>
      <c r="K2" s="2" t="s">
        <v>11020</v>
      </c>
      <c r="L2" s="2" t="s">
        <v>11021</v>
      </c>
      <c r="M2" s="2"/>
      <c r="N2" s="2"/>
    </row>
    <row r="3" spans="1:15">
      <c r="A3">
        <v>1</v>
      </c>
      <c r="B3" t="s">
        <v>11026</v>
      </c>
      <c r="C3" t="s">
        <v>11027</v>
      </c>
      <c r="D3" s="2">
        <f>申报债权统计!D3-Sheet3!D3</f>
        <v>1</v>
      </c>
      <c r="E3" s="2">
        <f>申报债权统计!E3-Sheet3!E3</f>
        <v>-1</v>
      </c>
      <c r="F3" s="2">
        <f>申报债权统计!F3-Sheet3!F3</f>
        <v>0</v>
      </c>
      <c r="G3" s="2">
        <f>申报债权统计!G3-Sheet3!G3</f>
        <v>0</v>
      </c>
      <c r="H3" s="2">
        <f>申报债权统计!H3-Sheet3!H3</f>
        <v>0</v>
      </c>
      <c r="I3" s="2">
        <f>申报债权统计!I3-Sheet3!I3</f>
        <v>1</v>
      </c>
      <c r="J3" s="2">
        <f>申报债权统计!J3-Sheet3!J3</f>
        <v>1</v>
      </c>
      <c r="K3" s="2">
        <f>申报债权统计!K3-Sheet3!K3</f>
        <v>0</v>
      </c>
      <c r="L3" s="2">
        <f>申报债权统计!L3-Sheet3!L3</f>
        <v>0</v>
      </c>
      <c r="M3" s="2" t="e">
        <f>申报债权统计!#REF!-Sheet3!M3</f>
        <v>#REF!</v>
      </c>
      <c r="N3" s="2">
        <f>申报债权统计!M3-Sheet3!N3</f>
        <v>0</v>
      </c>
      <c r="O3" s="2">
        <f>申报债权统计!N3-Sheet3!O3</f>
        <v>0</v>
      </c>
    </row>
    <row r="4" spans="3:15">
      <c r="C4" t="s">
        <v>9757</v>
      </c>
      <c r="D4" s="2">
        <f>申报债权统计!D4-Sheet3!D4</f>
        <v>500000.000000048</v>
      </c>
      <c r="E4" s="2">
        <f>申报债权统计!E4-Sheet3!E4</f>
        <v>-668429.019999955</v>
      </c>
      <c r="F4" s="2">
        <f>申报债权统计!F4-Sheet3!F4</f>
        <v>-668429.019999996</v>
      </c>
      <c r="G4" s="2">
        <f>申报债权统计!G4-Sheet3!G4</f>
        <v>-8.84756445884705e-9</v>
      </c>
      <c r="H4" s="2">
        <f>申报债权统计!H4-Sheet3!H4</f>
        <v>0</v>
      </c>
      <c r="I4" s="2">
        <f>申报债权统计!I4-Sheet3!I4</f>
        <v>668429.02</v>
      </c>
      <c r="J4" s="2">
        <f>申报债权统计!J4-Sheet3!J4</f>
        <v>500000</v>
      </c>
      <c r="K4" s="2">
        <f>申报债权统计!K4-Sheet3!K4</f>
        <v>0</v>
      </c>
      <c r="L4" s="2">
        <f>申报债权统计!L4-Sheet3!L4</f>
        <v>3.25962901115417e-9</v>
      </c>
      <c r="M4" s="2" t="e">
        <f>申报债权统计!#REF!-Sheet3!M4</f>
        <v>#REF!</v>
      </c>
      <c r="N4" s="2">
        <f>申报债权统计!M4-Sheet3!N4</f>
        <v>4.84287738800049e-8</v>
      </c>
      <c r="O4" s="2">
        <f>申报债权统计!N4-Sheet3!O4</f>
        <v>0</v>
      </c>
    </row>
    <row r="5" spans="4:15">
      <c r="D5" s="2">
        <f>申报债权统计!D5-Sheet3!D5</f>
        <v>0</v>
      </c>
      <c r="E5" s="2">
        <f>申报债权统计!E5-Sheet3!E5</f>
        <v>0</v>
      </c>
      <c r="F5" s="2">
        <f>申报债权统计!F5-Sheet3!F5</f>
        <v>0</v>
      </c>
      <c r="G5" s="2">
        <f>申报债权统计!G5-Sheet3!G5</f>
        <v>0</v>
      </c>
      <c r="H5" s="2">
        <f>申报债权统计!H5-Sheet3!H5</f>
        <v>0</v>
      </c>
      <c r="I5" s="2">
        <f>申报债权统计!I5-Sheet3!I5</f>
        <v>0</v>
      </c>
      <c r="J5" s="2">
        <f>申报债权统计!J5-Sheet3!J5</f>
        <v>0</v>
      </c>
      <c r="K5" s="2">
        <f>申报债权统计!K5-Sheet3!K5</f>
        <v>0</v>
      </c>
      <c r="L5" s="2">
        <f>申报债权统计!L5-Sheet3!L5</f>
        <v>0</v>
      </c>
      <c r="M5" s="2" t="e">
        <f>申报债权统计!#REF!-Sheet3!M5</f>
        <v>#REF!</v>
      </c>
      <c r="N5" s="2">
        <f>申报债权统计!M5-Sheet3!N5</f>
        <v>0</v>
      </c>
      <c r="O5" s="2">
        <f>申报债权统计!N5-Sheet3!O5</f>
        <v>0</v>
      </c>
    </row>
    <row r="6" spans="1:15">
      <c r="A6">
        <v>2</v>
      </c>
      <c r="B6" t="s">
        <v>11028</v>
      </c>
      <c r="C6" t="s">
        <v>11027</v>
      </c>
      <c r="D6" s="2">
        <f>申报债权统计!D6-Sheet3!D6</f>
        <v>-57</v>
      </c>
      <c r="E6" s="2" t="e">
        <f>申报债权统计!E6-Sheet3!E6</f>
        <v>#REF!</v>
      </c>
      <c r="F6" s="2">
        <f>申报债权统计!F6-Sheet3!F6</f>
        <v>0</v>
      </c>
      <c r="G6" s="2">
        <f>申报债权统计!G6-Sheet3!G6</f>
        <v>0</v>
      </c>
      <c r="H6" s="2">
        <f>申报债权统计!H6-Sheet3!H6</f>
        <v>0</v>
      </c>
      <c r="I6" s="2" t="e">
        <f>申报债权统计!I6-Sheet3!I6</f>
        <v>#REF!</v>
      </c>
      <c r="J6" s="2" t="e">
        <f>申报债权统计!J6-Sheet3!J6</f>
        <v>#REF!</v>
      </c>
      <c r="K6" s="2">
        <f>申报债权统计!K6-Sheet3!K6</f>
        <v>0</v>
      </c>
      <c r="L6" s="2" t="e">
        <f>申报债权统计!L6-Sheet3!L6</f>
        <v>#REF!</v>
      </c>
      <c r="M6" s="2" t="e">
        <f>申报债权统计!#REF!-Sheet3!M6</f>
        <v>#REF!</v>
      </c>
      <c r="N6" s="2">
        <f>申报债权统计!M6-Sheet3!N6</f>
        <v>-57</v>
      </c>
      <c r="O6" s="2">
        <f>申报债权统计!N6-Sheet3!O6</f>
        <v>0</v>
      </c>
    </row>
    <row r="7" spans="3:15">
      <c r="C7" t="s">
        <v>9757</v>
      </c>
      <c r="D7" s="2" t="e">
        <f>申报债权统计!D7-Sheet3!D7</f>
        <v>#REF!</v>
      </c>
      <c r="E7" s="2" t="e">
        <f>申报债权统计!E7-Sheet3!E7</f>
        <v>#REF!</v>
      </c>
      <c r="F7" s="2" t="e">
        <f>申报债权统计!F7-Sheet3!F7</f>
        <v>#REF!</v>
      </c>
      <c r="G7" s="2" t="e">
        <f>申报债权统计!G7-Sheet3!G7</f>
        <v>#REF!</v>
      </c>
      <c r="H7" s="2" t="e">
        <f>申报债权统计!H7-Sheet3!H7</f>
        <v>#REF!</v>
      </c>
      <c r="I7" s="2" t="e">
        <f>申报债权统计!I7-Sheet3!I7</f>
        <v>#REF!</v>
      </c>
      <c r="J7" s="2" t="e">
        <f>申报债权统计!J7-Sheet3!J7</f>
        <v>#REF!</v>
      </c>
      <c r="K7" s="2" t="e">
        <f>申报债权统计!K7-Sheet3!K7</f>
        <v>#REF!</v>
      </c>
      <c r="L7" s="2" t="e">
        <f>申报债权统计!L7-Sheet3!L7</f>
        <v>#REF!</v>
      </c>
      <c r="M7" s="2" t="e">
        <f>申报债权统计!#REF!-Sheet3!M7</f>
        <v>#REF!</v>
      </c>
      <c r="N7" s="2" t="e">
        <f>申报债权统计!M7-Sheet3!N7</f>
        <v>#REF!</v>
      </c>
      <c r="O7" s="2">
        <f>申报债权统计!N7-Sheet3!O7</f>
        <v>0</v>
      </c>
    </row>
    <row r="8" spans="4:15">
      <c r="D8" s="2">
        <f>申报债权统计!D8-Sheet3!D8</f>
        <v>0</v>
      </c>
      <c r="E8" s="2">
        <f>申报债权统计!E8-Sheet3!E8</f>
        <v>0</v>
      </c>
      <c r="F8" s="2">
        <f>申报债权统计!F8-Sheet3!F8</f>
        <v>0</v>
      </c>
      <c r="G8" s="2">
        <f>申报债权统计!G8-Sheet3!G8</f>
        <v>0</v>
      </c>
      <c r="H8" s="2">
        <f>申报债权统计!H8-Sheet3!H8</f>
        <v>0</v>
      </c>
      <c r="I8" s="2">
        <f>申报债权统计!I8-Sheet3!I8</f>
        <v>0</v>
      </c>
      <c r="J8" s="2">
        <f>申报债权统计!J8-Sheet3!J8</f>
        <v>0</v>
      </c>
      <c r="K8" s="2">
        <f>申报债权统计!K8-Sheet3!K8</f>
        <v>0</v>
      </c>
      <c r="L8" s="2">
        <f>申报债权统计!L8-Sheet3!L8</f>
        <v>0</v>
      </c>
      <c r="M8" s="2" t="e">
        <f>申报债权统计!#REF!-Sheet3!M8</f>
        <v>#REF!</v>
      </c>
      <c r="N8" s="2">
        <f>申报债权统计!M8-Sheet3!N8</f>
        <v>0</v>
      </c>
      <c r="O8" s="2">
        <f>申报债权统计!N8-Sheet3!O8</f>
        <v>0</v>
      </c>
    </row>
    <row r="9" spans="1:15">
      <c r="A9">
        <v>3</v>
      </c>
      <c r="B9" t="s">
        <v>11029</v>
      </c>
      <c r="C9" t="s">
        <v>11027</v>
      </c>
      <c r="D9" s="2" t="e">
        <f>申报债权统计!D9-Sheet3!D9</f>
        <v>#REF!</v>
      </c>
      <c r="E9" s="2" t="e">
        <f>申报债权统计!E9-Sheet3!E9</f>
        <v>#REF!</v>
      </c>
      <c r="F9" s="2">
        <f>申报债权统计!F9-Sheet3!F9</f>
        <v>0</v>
      </c>
      <c r="G9" s="2">
        <f>申报债权统计!G9-Sheet3!G9</f>
        <v>0</v>
      </c>
      <c r="H9" s="2">
        <f>申报债权统计!H9-Sheet3!H9</f>
        <v>0</v>
      </c>
      <c r="I9" s="2" t="e">
        <f>申报债权统计!I9-Sheet3!I9</f>
        <v>#REF!</v>
      </c>
      <c r="J9" s="2" t="e">
        <f>申报债权统计!J9-Sheet3!J9</f>
        <v>#REF!</v>
      </c>
      <c r="K9" s="2">
        <f>申报债权统计!K9-Sheet3!K9</f>
        <v>0</v>
      </c>
      <c r="L9" s="2" t="e">
        <f>申报债权统计!L9-Sheet3!L9</f>
        <v>#REF!</v>
      </c>
      <c r="M9" s="2" t="e">
        <f>申报债权统计!#REF!-Sheet3!M9</f>
        <v>#REF!</v>
      </c>
      <c r="N9" s="2">
        <f>申报债权统计!M9-Sheet3!N9</f>
        <v>0</v>
      </c>
      <c r="O9" s="2">
        <f>申报债权统计!N9-Sheet3!O9</f>
        <v>0</v>
      </c>
    </row>
    <row r="10" spans="3:15">
      <c r="C10" t="s">
        <v>9757</v>
      </c>
      <c r="D10" s="2" t="e">
        <f>申报债权统计!D10-Sheet3!D10</f>
        <v>#REF!</v>
      </c>
      <c r="E10" s="2" t="e">
        <f>申报债权统计!E10-Sheet3!E10</f>
        <v>#REF!</v>
      </c>
      <c r="F10" s="2" t="e">
        <f>申报债权统计!F10-Sheet3!F10</f>
        <v>#REF!</v>
      </c>
      <c r="G10" s="2" t="e">
        <f>申报债权统计!G10-Sheet3!G10</f>
        <v>#REF!</v>
      </c>
      <c r="H10" s="2" t="e">
        <f>申报债权统计!H10-Sheet3!H10</f>
        <v>#REF!</v>
      </c>
      <c r="I10" s="2" t="e">
        <f>申报债权统计!I10-Sheet3!I10</f>
        <v>#REF!</v>
      </c>
      <c r="J10" s="2" t="e">
        <f>申报债权统计!J10-Sheet3!J10</f>
        <v>#REF!</v>
      </c>
      <c r="K10" s="2" t="e">
        <f>申报债权统计!K10-Sheet3!K10</f>
        <v>#REF!</v>
      </c>
      <c r="L10" s="2" t="e">
        <f>申报债权统计!L10-Sheet3!L10</f>
        <v>#REF!</v>
      </c>
      <c r="M10" s="2" t="e">
        <f>申报债权统计!#REF!-Sheet3!M10</f>
        <v>#REF!</v>
      </c>
      <c r="N10" s="2">
        <f>申报债权统计!M10-Sheet3!N10</f>
        <v>0</v>
      </c>
      <c r="O10" s="2">
        <f>申报债权统计!N10-Sheet3!O10</f>
        <v>0</v>
      </c>
    </row>
    <row r="11" spans="4:15">
      <c r="D11" s="2">
        <f>申报债权统计!D11-Sheet3!D11</f>
        <v>0</v>
      </c>
      <c r="E11" s="2">
        <f>申报债权统计!E11-Sheet3!E11</f>
        <v>0</v>
      </c>
      <c r="F11" s="2">
        <f>申报债权统计!F11-Sheet3!F11</f>
        <v>0</v>
      </c>
      <c r="G11" s="2">
        <f>申报债权统计!G11-Sheet3!G11</f>
        <v>0</v>
      </c>
      <c r="H11" s="2">
        <f>申报债权统计!H11-Sheet3!H11</f>
        <v>0</v>
      </c>
      <c r="I11" s="2">
        <f>申报债权统计!I11-Sheet3!I11</f>
        <v>0</v>
      </c>
      <c r="J11" s="2">
        <f>申报债权统计!J11-Sheet3!J11</f>
        <v>0</v>
      </c>
      <c r="K11" s="2">
        <f>申报债权统计!K11-Sheet3!K11</f>
        <v>0</v>
      </c>
      <c r="L11" s="2">
        <f>申报债权统计!L11-Sheet3!L11</f>
        <v>0</v>
      </c>
      <c r="M11" s="2" t="e">
        <f>申报债权统计!#REF!-Sheet3!M11</f>
        <v>#REF!</v>
      </c>
      <c r="N11" s="2">
        <f>申报债权统计!M11-Sheet3!N11</f>
        <v>0</v>
      </c>
      <c r="O11" s="2">
        <f>申报债权统计!N11-Sheet3!O11</f>
        <v>0</v>
      </c>
    </row>
    <row r="12" spans="2:15">
      <c r="B12" t="s">
        <v>11030</v>
      </c>
      <c r="C12" t="s">
        <v>11027</v>
      </c>
      <c r="D12" s="2" t="e">
        <f>申报债权统计!D12-Sheet3!D12</f>
        <v>#REF!</v>
      </c>
      <c r="E12" s="2" t="e">
        <f>申报债权统计!E12-Sheet3!E12</f>
        <v>#REF!</v>
      </c>
      <c r="F12" s="2">
        <f>申报债权统计!F12-Sheet3!F12</f>
        <v>0</v>
      </c>
      <c r="G12" s="2">
        <f>申报债权统计!G12-Sheet3!G12</f>
        <v>0</v>
      </c>
      <c r="H12" s="2">
        <f>申报债权统计!H12-Sheet3!H12</f>
        <v>0</v>
      </c>
      <c r="I12" s="2" t="e">
        <f>申报债权统计!I12-Sheet3!I12</f>
        <v>#REF!</v>
      </c>
      <c r="J12" s="2" t="e">
        <f>申报债权统计!J12-Sheet3!J12</f>
        <v>#REF!</v>
      </c>
      <c r="K12" s="2">
        <f>申报债权统计!K12-Sheet3!K12</f>
        <v>0</v>
      </c>
      <c r="L12" s="2" t="e">
        <f>申报债权统计!L12-Sheet3!L12</f>
        <v>#REF!</v>
      </c>
      <c r="M12" s="2" t="e">
        <f>申报债权统计!#REF!-Sheet3!M12</f>
        <v>#REF!</v>
      </c>
      <c r="N12" s="2">
        <f>申报债权统计!M12-Sheet3!N12</f>
        <v>0</v>
      </c>
      <c r="O12" s="2">
        <f>申报债权统计!N12-Sheet3!O12</f>
        <v>0</v>
      </c>
    </row>
    <row r="13" spans="3:15">
      <c r="C13" t="s">
        <v>9757</v>
      </c>
      <c r="D13" s="2" t="e">
        <f>申报债权统计!D13-Sheet3!D13</f>
        <v>#REF!</v>
      </c>
      <c r="E13" s="2" t="e">
        <f>申报债权统计!E13-Sheet3!E13</f>
        <v>#REF!</v>
      </c>
      <c r="F13" s="2" t="e">
        <f>申报债权统计!F13-Sheet3!F13</f>
        <v>#REF!</v>
      </c>
      <c r="G13" s="2" t="e">
        <f>申报债权统计!G13-Sheet3!G13</f>
        <v>#REF!</v>
      </c>
      <c r="H13" s="2" t="e">
        <f>申报债权统计!H13-Sheet3!H13</f>
        <v>#REF!</v>
      </c>
      <c r="I13" s="2" t="e">
        <f>申报债权统计!I13-Sheet3!I13</f>
        <v>#REF!</v>
      </c>
      <c r="J13" s="2" t="e">
        <f>申报债权统计!J13-Sheet3!J13</f>
        <v>#REF!</v>
      </c>
      <c r="K13" s="2" t="e">
        <f>申报债权统计!K13-Sheet3!K13</f>
        <v>#REF!</v>
      </c>
      <c r="L13" s="2" t="e">
        <f>申报债权统计!L13-Sheet3!L13</f>
        <v>#REF!</v>
      </c>
      <c r="M13" s="2" t="e">
        <f>申报债权统计!#REF!-Sheet3!M13</f>
        <v>#REF!</v>
      </c>
      <c r="N13" s="2">
        <f>申报债权统计!M13-Sheet3!N13</f>
        <v>0</v>
      </c>
      <c r="O13" s="2">
        <f>申报债权统计!N13-Sheet3!O13</f>
        <v>0</v>
      </c>
    </row>
    <row r="14" spans="4:15">
      <c r="D14" s="2">
        <f>申报债权统计!D14-Sheet3!D14</f>
        <v>0</v>
      </c>
      <c r="E14" s="2">
        <f>申报债权统计!E14-Sheet3!E14</f>
        <v>0</v>
      </c>
      <c r="F14" s="2">
        <f>申报债权统计!F14-Sheet3!F14</f>
        <v>0</v>
      </c>
      <c r="G14" s="2">
        <f>申报债权统计!G14-Sheet3!G14</f>
        <v>0</v>
      </c>
      <c r="H14" s="2">
        <f>申报债权统计!H14-Sheet3!H14</f>
        <v>0</v>
      </c>
      <c r="I14" s="2">
        <f>申报债权统计!I14-Sheet3!I14</f>
        <v>0</v>
      </c>
      <c r="J14" s="2">
        <f>申报债权统计!J14-Sheet3!J14</f>
        <v>0</v>
      </c>
      <c r="K14" s="2">
        <f>申报债权统计!K14-Sheet3!K14</f>
        <v>0</v>
      </c>
      <c r="L14" s="2">
        <f>申报债权统计!L14-Sheet3!L14</f>
        <v>0</v>
      </c>
      <c r="M14" s="2" t="e">
        <f>申报债权统计!#REF!-Sheet3!M14</f>
        <v>#REF!</v>
      </c>
      <c r="N14" s="2">
        <f>申报债权统计!M14-Sheet3!N14</f>
        <v>0</v>
      </c>
      <c r="O14" s="2">
        <f>申报债权统计!N14-Sheet3!O14</f>
        <v>0</v>
      </c>
    </row>
    <row r="15" spans="2:15">
      <c r="B15" t="s">
        <v>11031</v>
      </c>
      <c r="C15" t="s">
        <v>11027</v>
      </c>
      <c r="D15" s="2" t="e">
        <f>申报债权统计!D15-Sheet3!D15</f>
        <v>#REF!</v>
      </c>
      <c r="E15" s="2" t="e">
        <f>申报债权统计!E15-Sheet3!E15</f>
        <v>#REF!</v>
      </c>
      <c r="F15" s="2">
        <f>申报债权统计!F15-Sheet3!F15</f>
        <v>0</v>
      </c>
      <c r="G15" s="2">
        <f>申报债权统计!G15-Sheet3!G15</f>
        <v>0</v>
      </c>
      <c r="H15" s="2">
        <f>申报债权统计!H15-Sheet3!H15</f>
        <v>0</v>
      </c>
      <c r="I15" s="2" t="e">
        <f>申报债权统计!I15-Sheet3!I15</f>
        <v>#REF!</v>
      </c>
      <c r="J15" s="2" t="e">
        <f>申报债权统计!J15-Sheet3!J15</f>
        <v>#REF!</v>
      </c>
      <c r="K15" s="2">
        <f>申报债权统计!K15-Sheet3!K15</f>
        <v>0</v>
      </c>
      <c r="L15" s="2" t="e">
        <f>申报债权统计!L15-Sheet3!L15</f>
        <v>#REF!</v>
      </c>
      <c r="M15" s="2" t="e">
        <f>申报债权统计!#REF!-Sheet3!M15</f>
        <v>#REF!</v>
      </c>
      <c r="N15" s="2">
        <f>申报债权统计!M15-Sheet3!N15</f>
        <v>0</v>
      </c>
      <c r="O15" s="2">
        <f>申报债权统计!N15-Sheet3!O15</f>
        <v>0</v>
      </c>
    </row>
    <row r="16" spans="3:15">
      <c r="C16" t="s">
        <v>9757</v>
      </c>
      <c r="D16" s="2" t="e">
        <f>申报债权统计!D16-Sheet3!D16</f>
        <v>#REF!</v>
      </c>
      <c r="E16" s="2" t="e">
        <f>申报债权统计!E16-Sheet3!E16</f>
        <v>#REF!</v>
      </c>
      <c r="F16" s="2" t="e">
        <f>申报债权统计!F16-Sheet3!F16</f>
        <v>#REF!</v>
      </c>
      <c r="G16" s="2" t="e">
        <f>申报债权统计!G16-Sheet3!G16</f>
        <v>#REF!</v>
      </c>
      <c r="H16" s="2" t="e">
        <f>申报债权统计!H16-Sheet3!H16</f>
        <v>#REF!</v>
      </c>
      <c r="I16" s="2" t="e">
        <f>申报债权统计!I16-Sheet3!I16</f>
        <v>#REF!</v>
      </c>
      <c r="J16" s="2" t="e">
        <f>申报债权统计!J16-Sheet3!J16</f>
        <v>#REF!</v>
      </c>
      <c r="K16" s="2" t="e">
        <f>申报债权统计!K16-Sheet3!K16</f>
        <v>#REF!</v>
      </c>
      <c r="L16" s="2" t="e">
        <f>申报债权统计!L16-Sheet3!L16</f>
        <v>#REF!</v>
      </c>
      <c r="M16" s="2" t="e">
        <f>申报债权统计!#REF!-Sheet3!M16</f>
        <v>#REF!</v>
      </c>
      <c r="N16" s="2">
        <f>申报债权统计!M16-Sheet3!N16</f>
        <v>0</v>
      </c>
      <c r="O16" s="2">
        <f>申报债权统计!N16-Sheet3!O16</f>
        <v>0</v>
      </c>
    </row>
    <row r="17" spans="4:15">
      <c r="D17" s="2">
        <f>申报债权统计!D17-Sheet3!D17</f>
        <v>0</v>
      </c>
      <c r="E17" s="2">
        <f>申报债权统计!E17-Sheet3!E17</f>
        <v>0</v>
      </c>
      <c r="F17" s="2">
        <f>申报债权统计!F17-Sheet3!F17</f>
        <v>0</v>
      </c>
      <c r="G17" s="2">
        <f>申报债权统计!G17-Sheet3!G17</f>
        <v>0</v>
      </c>
      <c r="H17" s="2">
        <f>申报债权统计!H17-Sheet3!H17</f>
        <v>0</v>
      </c>
      <c r="I17" s="2">
        <f>申报债权统计!I17-Sheet3!I17</f>
        <v>0</v>
      </c>
      <c r="J17" s="2">
        <f>申报债权统计!J17-Sheet3!J17</f>
        <v>0</v>
      </c>
      <c r="K17" s="2">
        <f>申报债权统计!K17-Sheet3!K17</f>
        <v>0</v>
      </c>
      <c r="L17" s="2">
        <f>申报债权统计!L17-Sheet3!L17</f>
        <v>0</v>
      </c>
      <c r="M17" s="2" t="e">
        <f>申报债权统计!#REF!-Sheet3!M17</f>
        <v>#REF!</v>
      </c>
      <c r="N17" s="2">
        <f>申报债权统计!M17-Sheet3!N17</f>
        <v>0</v>
      </c>
      <c r="O17" s="2">
        <f>申报债权统计!N17-Sheet3!O17</f>
        <v>0</v>
      </c>
    </row>
    <row r="18" spans="2:15">
      <c r="B18" t="s">
        <v>11032</v>
      </c>
      <c r="C18" t="s">
        <v>11027</v>
      </c>
      <c r="D18" s="2" t="e">
        <f>申报债权统计!D18-Sheet3!D18</f>
        <v>#REF!</v>
      </c>
      <c r="E18" s="2" t="e">
        <f>申报债权统计!E18-Sheet3!E18</f>
        <v>#REF!</v>
      </c>
      <c r="F18" s="2">
        <f>申报债权统计!F18-Sheet3!F18</f>
        <v>0</v>
      </c>
      <c r="G18" s="2">
        <f>申报债权统计!G18-Sheet3!G18</f>
        <v>0</v>
      </c>
      <c r="H18" s="2">
        <f>申报债权统计!H18-Sheet3!H18</f>
        <v>0</v>
      </c>
      <c r="I18" s="2" t="e">
        <f>申报债权统计!I18-Sheet3!I18</f>
        <v>#REF!</v>
      </c>
      <c r="J18" s="2" t="e">
        <f>申报债权统计!J18-Sheet3!J18</f>
        <v>#REF!</v>
      </c>
      <c r="K18" s="2">
        <f>申报债权统计!K18-Sheet3!K18</f>
        <v>0</v>
      </c>
      <c r="L18" s="2" t="e">
        <f>申报债权统计!L18-Sheet3!L18</f>
        <v>#REF!</v>
      </c>
      <c r="M18" s="2" t="e">
        <f>申报债权统计!#REF!-Sheet3!M18</f>
        <v>#REF!</v>
      </c>
      <c r="N18" s="2" t="e">
        <f>申报债权统计!M18-Sheet3!N18</f>
        <v>#REF!</v>
      </c>
      <c r="O18" s="2">
        <f>申报债权统计!N18-Sheet3!O18</f>
        <v>0</v>
      </c>
    </row>
    <row r="19" spans="3:15">
      <c r="C19" t="s">
        <v>9757</v>
      </c>
      <c r="D19" s="2" t="e">
        <f>申报债权统计!D19-Sheet3!D19</f>
        <v>#REF!</v>
      </c>
      <c r="E19" s="2" t="e">
        <f>申报债权统计!E19-Sheet3!E19</f>
        <v>#REF!</v>
      </c>
      <c r="F19" s="2" t="e">
        <f>申报债权统计!F19-Sheet3!F19</f>
        <v>#REF!</v>
      </c>
      <c r="G19" s="2" t="e">
        <f>申报债权统计!G19-Sheet3!G19</f>
        <v>#REF!</v>
      </c>
      <c r="H19" s="2" t="e">
        <f>申报债权统计!H19-Sheet3!H19</f>
        <v>#REF!</v>
      </c>
      <c r="I19" s="2" t="e">
        <f>申报债权统计!I19-Sheet3!I19</f>
        <v>#REF!</v>
      </c>
      <c r="J19" s="2" t="e">
        <f>申报债权统计!J19-Sheet3!J19</f>
        <v>#REF!</v>
      </c>
      <c r="K19" s="2" t="e">
        <f>申报债权统计!K19-Sheet3!K19</f>
        <v>#REF!</v>
      </c>
      <c r="L19" s="2" t="e">
        <f>申报债权统计!L19-Sheet3!L19</f>
        <v>#REF!</v>
      </c>
      <c r="M19" s="2" t="e">
        <f>申报债权统计!#REF!-Sheet3!M19</f>
        <v>#REF!</v>
      </c>
      <c r="N19" s="2" t="e">
        <f>申报债权统计!M19-Sheet3!N19</f>
        <v>#REF!</v>
      </c>
      <c r="O19" s="2">
        <f>申报债权统计!N19-Sheet3!O19</f>
        <v>0</v>
      </c>
    </row>
    <row r="20" spans="4:15">
      <c r="D20" s="2">
        <f>申报债权统计!D20-Sheet3!D20</f>
        <v>0</v>
      </c>
      <c r="E20" s="2">
        <f>申报债权统计!E20-Sheet3!E20</f>
        <v>0</v>
      </c>
      <c r="F20" s="2">
        <f>申报债权统计!F20-Sheet3!F20</f>
        <v>0</v>
      </c>
      <c r="G20" s="2">
        <f>申报债权统计!G20-Sheet3!G20</f>
        <v>0</v>
      </c>
      <c r="H20" s="2">
        <f>申报债权统计!H20-Sheet3!H20</f>
        <v>0</v>
      </c>
      <c r="I20" s="2">
        <f>申报债权统计!I20-Sheet3!I20</f>
        <v>0</v>
      </c>
      <c r="J20" s="2">
        <f>申报债权统计!J20-Sheet3!J20</f>
        <v>0</v>
      </c>
      <c r="K20" s="2">
        <f>申报债权统计!K20-Sheet3!K20</f>
        <v>0</v>
      </c>
      <c r="L20" s="2">
        <f>申报债权统计!L20-Sheet3!L20</f>
        <v>0</v>
      </c>
      <c r="M20" s="2" t="e">
        <f>申报债权统计!#REF!-Sheet3!M20</f>
        <v>#REF!</v>
      </c>
      <c r="N20" s="2">
        <f>申报债权统计!M20-Sheet3!N20</f>
        <v>0</v>
      </c>
      <c r="O20" s="2">
        <f>申报债权统计!N20-Sheet3!O20</f>
        <v>0</v>
      </c>
    </row>
    <row r="21" s="3" customFormat="1" spans="2:15">
      <c r="B21" s="3" t="s">
        <v>11032</v>
      </c>
      <c r="C21" s="3" t="s">
        <v>11027</v>
      </c>
      <c r="D21" s="58">
        <f>申报债权统计!D21-Sheet3!D21</f>
        <v>187</v>
      </c>
      <c r="E21" s="58">
        <f>申报债权统计!E21-Sheet3!E21</f>
        <v>15</v>
      </c>
      <c r="F21" s="58">
        <f>申报债权统计!F21-Sheet3!F21</f>
        <v>0</v>
      </c>
      <c r="G21" s="58">
        <f>申报债权统计!G21-Sheet3!G21</f>
        <v>0</v>
      </c>
      <c r="H21" s="58">
        <f>申报债权统计!H21-Sheet3!H21</f>
        <v>0</v>
      </c>
      <c r="I21" s="58">
        <f>申报债权统计!I21-Sheet3!I21</f>
        <v>9</v>
      </c>
      <c r="J21" s="58">
        <f>申报债权统计!J21-Sheet3!J21</f>
        <v>162</v>
      </c>
      <c r="K21" s="58">
        <f>申报债权统计!K21-Sheet3!K21</f>
        <v>0</v>
      </c>
      <c r="L21" s="58">
        <f>申报债权统计!L21-Sheet3!L21</f>
        <v>1</v>
      </c>
      <c r="M21" s="58" t="e">
        <f>申报债权统计!#REF!-Sheet3!M21</f>
        <v>#REF!</v>
      </c>
      <c r="N21" s="58">
        <f>申报债权统计!M21-Sheet3!N21</f>
        <v>0</v>
      </c>
      <c r="O21" s="58">
        <f>申报债权统计!N21-Sheet3!O21</f>
        <v>0</v>
      </c>
    </row>
    <row r="22" s="3" customFormat="1" spans="3:15">
      <c r="C22" s="3" t="s">
        <v>9757</v>
      </c>
      <c r="D22" s="58">
        <f>申报债权统计!D22-Sheet3!D22</f>
        <v>2514374230.92667</v>
      </c>
      <c r="E22" s="58">
        <f>申报债权统计!E22-Sheet3!E22</f>
        <v>762968537.28</v>
      </c>
      <c r="F22" s="58">
        <f>申报债权统计!F22-Sheet3!F22</f>
        <v>742485446.52</v>
      </c>
      <c r="G22" s="58">
        <f>申报债权统计!G22-Sheet3!G22</f>
        <v>20483090.76</v>
      </c>
      <c r="H22" s="58">
        <f>申报债权统计!H22-Sheet3!H22</f>
        <v>0</v>
      </c>
      <c r="I22" s="58">
        <f>申报债权统计!I22-Sheet3!I22</f>
        <v>130241212.46</v>
      </c>
      <c r="J22" s="58">
        <f>申报债权统计!J22-Sheet3!J22</f>
        <v>1621164481.18667</v>
      </c>
      <c r="K22" s="58">
        <f>申报债权统计!K22-Sheet3!K22</f>
        <v>0</v>
      </c>
      <c r="L22" s="58">
        <f>申报债权统计!L22-Sheet3!L22</f>
        <v>0</v>
      </c>
      <c r="M22" s="58" t="e">
        <f>申报债权统计!#REF!-Sheet3!M22</f>
        <v>#REF!</v>
      </c>
      <c r="N22" s="58">
        <f>申报债权统计!M22-Sheet3!N22</f>
        <v>0</v>
      </c>
      <c r="O22" s="58">
        <f>申报债权统计!N22-Sheet3!O22</f>
        <v>0</v>
      </c>
    </row>
    <row r="23" spans="4:15">
      <c r="D23" s="2">
        <f>申报债权统计!D23-Sheet3!D23</f>
        <v>0</v>
      </c>
      <c r="E23" s="2">
        <f>申报债权统计!E23-Sheet3!E23</f>
        <v>0</v>
      </c>
      <c r="F23" s="2">
        <f>申报债权统计!F23-Sheet3!F23</f>
        <v>0</v>
      </c>
      <c r="G23" s="2">
        <f>申报债权统计!G23-Sheet3!G23</f>
        <v>0</v>
      </c>
      <c r="H23" s="2">
        <f>申报债权统计!H23-Sheet3!H23</f>
        <v>0</v>
      </c>
      <c r="I23" s="2">
        <f>申报债权统计!I23-Sheet3!I23</f>
        <v>0</v>
      </c>
      <c r="J23" s="2">
        <f>申报债权统计!J23-Sheet3!J23</f>
        <v>0</v>
      </c>
      <c r="K23" s="2">
        <f>申报债权统计!K23-Sheet3!K23</f>
        <v>0</v>
      </c>
      <c r="L23" s="2">
        <f>申报债权统计!L23-Sheet3!L23</f>
        <v>0</v>
      </c>
      <c r="M23" s="2" t="e">
        <f>申报债权统计!#REF!-Sheet3!M23</f>
        <v>#REF!</v>
      </c>
      <c r="N23" s="2">
        <f>申报债权统计!M23-Sheet3!N23</f>
        <v>0</v>
      </c>
      <c r="O23" s="2">
        <f>申报债权统计!N23-Sheet3!O23</f>
        <v>0</v>
      </c>
    </row>
    <row r="24" spans="4:15">
      <c r="D24" s="2" t="e">
        <f>申报债权统计!D24-Sheet3!D24</f>
        <v>#REF!</v>
      </c>
      <c r="E24" s="2" t="e">
        <f>申报债权统计!E24-Sheet3!E24</f>
        <v>#REF!</v>
      </c>
      <c r="F24" s="2">
        <f>申报债权统计!F24-Sheet3!F24</f>
        <v>0</v>
      </c>
      <c r="G24" s="2">
        <f>申报债权统计!G24-Sheet3!G24</f>
        <v>0</v>
      </c>
      <c r="H24" s="2">
        <f>申报债权统计!H24-Sheet3!H24</f>
        <v>0</v>
      </c>
      <c r="I24" s="2" t="e">
        <f>申报债权统计!I24-Sheet3!I24</f>
        <v>#REF!</v>
      </c>
      <c r="J24" s="2" t="e">
        <f>申报债权统计!J24-Sheet3!J24</f>
        <v>#REF!</v>
      </c>
      <c r="K24" s="2">
        <f>申报债权统计!K24-Sheet3!K24</f>
        <v>0</v>
      </c>
      <c r="L24" s="2" t="e">
        <f>申报债权统计!L24-Sheet3!L24</f>
        <v>#REF!</v>
      </c>
      <c r="M24" s="2" t="e">
        <f>申报债权统计!#REF!-Sheet3!M24</f>
        <v>#REF!</v>
      </c>
      <c r="N24" s="2">
        <f>申报债权统计!M24-Sheet3!N24</f>
        <v>0</v>
      </c>
      <c r="O24" s="2">
        <f>申报债权统计!N24-Sheet3!O24</f>
        <v>0</v>
      </c>
    </row>
    <row r="25" spans="4:15">
      <c r="D25" s="2" t="e">
        <f>申报债权统计!D25-Sheet3!D25</f>
        <v>#REF!</v>
      </c>
      <c r="E25" s="2" t="e">
        <f>申报债权统计!E25-Sheet3!E25</f>
        <v>#REF!</v>
      </c>
      <c r="F25" s="2" t="e">
        <f>申报债权统计!F25-Sheet3!F25</f>
        <v>#REF!</v>
      </c>
      <c r="G25" s="2" t="e">
        <f>申报债权统计!G25-Sheet3!G25</f>
        <v>#REF!</v>
      </c>
      <c r="H25" s="2" t="e">
        <f>申报债权统计!H25-Sheet3!H25</f>
        <v>#REF!</v>
      </c>
      <c r="I25" s="2" t="e">
        <f>申报债权统计!I25-Sheet3!I25</f>
        <v>#REF!</v>
      </c>
      <c r="J25" s="2" t="e">
        <f>申报债权统计!J25-Sheet3!J25</f>
        <v>#REF!</v>
      </c>
      <c r="K25" s="2" t="e">
        <f>申报债权统计!K25-Sheet3!K25</f>
        <v>#REF!</v>
      </c>
      <c r="L25" s="2" t="e">
        <f>申报债权统计!L25-Sheet3!L25</f>
        <v>#REF!</v>
      </c>
      <c r="M25" s="2" t="e">
        <f>申报债权统计!#REF!-Sheet3!M25</f>
        <v>#REF!</v>
      </c>
      <c r="N25" s="2">
        <f>申报债权统计!M25-Sheet3!N25</f>
        <v>0</v>
      </c>
      <c r="O25" s="2">
        <f>申报债权统计!N25-Sheet3!O25</f>
        <v>0</v>
      </c>
    </row>
    <row r="26" spans="4:15">
      <c r="D26" s="2">
        <f>申报债权统计!D26-Sheet3!D26</f>
        <v>0</v>
      </c>
      <c r="E26" s="2">
        <f>申报债权统计!E26-Sheet3!E26</f>
        <v>0</v>
      </c>
      <c r="F26" s="2">
        <f>申报债权统计!F26-Sheet3!F26</f>
        <v>0</v>
      </c>
      <c r="G26" s="2">
        <f>申报债权统计!G26-Sheet3!G26</f>
        <v>0</v>
      </c>
      <c r="H26" s="2">
        <f>申报债权统计!H26-Sheet3!H26</f>
        <v>0</v>
      </c>
      <c r="I26" s="2">
        <f>申报债权统计!I26-Sheet3!I26</f>
        <v>0</v>
      </c>
      <c r="J26" s="2">
        <f>申报债权统计!J26-Sheet3!J26</f>
        <v>0</v>
      </c>
      <c r="K26" s="2">
        <f>申报债权统计!K26-Sheet3!K26</f>
        <v>0</v>
      </c>
      <c r="L26" s="2">
        <f>申报债权统计!L26-Sheet3!L26</f>
        <v>0</v>
      </c>
      <c r="M26" s="2" t="e">
        <f>申报债权统计!#REF!-Sheet3!M26</f>
        <v>#REF!</v>
      </c>
      <c r="N26" s="2">
        <f>申报债权统计!M26-Sheet3!N26</f>
        <v>0</v>
      </c>
      <c r="O26" s="2">
        <f>申报债权统计!N26-Sheet3!O26</f>
        <v>0</v>
      </c>
    </row>
    <row r="27" spans="4:15">
      <c r="D27" s="2">
        <f>申报债权统计!D27-Sheet3!D27</f>
        <v>0</v>
      </c>
      <c r="E27" s="2">
        <f>申报债权统计!E27-Sheet3!E27</f>
        <v>0</v>
      </c>
      <c r="F27" s="2">
        <f>申报债权统计!F27-Sheet3!F27</f>
        <v>0</v>
      </c>
      <c r="G27" s="2">
        <f>申报债权统计!G27-Sheet3!G27</f>
        <v>0</v>
      </c>
      <c r="H27" s="2">
        <f>申报债权统计!H27-Sheet3!H27</f>
        <v>0</v>
      </c>
      <c r="I27" s="2">
        <f>申报债权统计!I27-Sheet3!I27</f>
        <v>0</v>
      </c>
      <c r="J27" s="2">
        <f>申报债权统计!J27-Sheet3!J27</f>
        <v>0</v>
      </c>
      <c r="K27" s="2">
        <f>申报债权统计!K27-Sheet3!K27</f>
        <v>0</v>
      </c>
      <c r="L27" s="2">
        <f>申报债权统计!L27-Sheet3!L27</f>
        <v>0</v>
      </c>
      <c r="M27" s="2" t="e">
        <f>申报债权统计!#REF!-Sheet3!M27</f>
        <v>#REF!</v>
      </c>
      <c r="N27" s="2">
        <f>申报债权统计!M27-Sheet3!N27</f>
        <v>0</v>
      </c>
      <c r="O27" s="2">
        <f>申报债权统计!N27-Sheet3!O27</f>
        <v>0</v>
      </c>
    </row>
    <row r="28" spans="1:15">
      <c r="A28">
        <v>4</v>
      </c>
      <c r="B28" t="s">
        <v>11033</v>
      </c>
      <c r="C28" t="s">
        <v>11027</v>
      </c>
      <c r="D28" s="2">
        <f>申报债权统计!D28-Sheet3!D28</f>
        <v>17</v>
      </c>
      <c r="E28" s="2">
        <f>申报债权统计!E28-Sheet3!E28</f>
        <v>22</v>
      </c>
      <c r="F28" s="2">
        <f>申报债权统计!F28-Sheet3!F28</f>
        <v>0</v>
      </c>
      <c r="G28" s="2">
        <f>申报债权统计!G28-Sheet3!G28</f>
        <v>0</v>
      </c>
      <c r="H28" s="2">
        <f>申报债权统计!H28-Sheet3!H28</f>
        <v>0</v>
      </c>
      <c r="I28" s="2">
        <f>申报债权统计!I28-Sheet3!I28</f>
        <v>10</v>
      </c>
      <c r="J28" s="2">
        <f>申报债权统计!J28-Sheet3!J28</f>
        <v>-15</v>
      </c>
      <c r="K28" s="2">
        <f>申报债权统计!K28-Sheet3!K28</f>
        <v>0</v>
      </c>
      <c r="L28" s="2">
        <f>申报债权统计!L28-Sheet3!L28</f>
        <v>0</v>
      </c>
      <c r="M28" s="2" t="e">
        <f>申报债权统计!#REF!-Sheet3!M28</f>
        <v>#REF!</v>
      </c>
      <c r="N28" s="2">
        <f>申报债权统计!M28-Sheet3!N28</f>
        <v>17</v>
      </c>
      <c r="O28" s="2">
        <f>申报债权统计!N28-Sheet3!O28</f>
        <v>0</v>
      </c>
    </row>
    <row r="29" spans="3:15">
      <c r="C29" t="s">
        <v>9757</v>
      </c>
      <c r="D29" s="2">
        <f>申报债权统计!D29-Sheet3!D29</f>
        <v>102379721.0106</v>
      </c>
      <c r="E29" s="2">
        <f>申报债权统计!E29-Sheet3!E29</f>
        <v>246268818.56</v>
      </c>
      <c r="F29" s="2">
        <f>申报债权统计!F29-Sheet3!F29</f>
        <v>193857175.73</v>
      </c>
      <c r="G29" s="2">
        <f>申报债权统计!G29-Sheet3!G29</f>
        <v>21353933.49</v>
      </c>
      <c r="H29" s="2">
        <f>申报债权统计!H29-Sheet3!H29</f>
        <v>31057709.34</v>
      </c>
      <c r="I29" s="2">
        <f>申报债权统计!I29-Sheet3!I29</f>
        <v>35361893.3</v>
      </c>
      <c r="J29" s="2">
        <f>申报债权统计!J29-Sheet3!J29</f>
        <v>-179250990.8494</v>
      </c>
      <c r="K29" s="2">
        <f>申报债权统计!K29-Sheet3!K29</f>
        <v>0</v>
      </c>
      <c r="L29" s="2">
        <f>申报债权统计!L29-Sheet3!L29</f>
        <v>0</v>
      </c>
      <c r="M29" s="2" t="e">
        <f>申报债权统计!#REF!-Sheet3!M29</f>
        <v>#REF!</v>
      </c>
      <c r="N29" s="2">
        <f>申报债权统计!M29-Sheet3!N29</f>
        <v>97379721.0106001</v>
      </c>
      <c r="O29" s="2">
        <f>申报债权统计!N29-Sheet3!O29</f>
        <v>0</v>
      </c>
    </row>
    <row r="30" spans="4:15">
      <c r="D30" s="2">
        <f>申报债权统计!D30-Sheet3!D30</f>
        <v>0</v>
      </c>
      <c r="E30" s="2">
        <f>申报债权统计!E30-Sheet3!E30</f>
        <v>0</v>
      </c>
      <c r="F30" s="2">
        <f>申报债权统计!F30-Sheet3!F30</f>
        <v>0</v>
      </c>
      <c r="G30" s="2">
        <f>申报债权统计!G30-Sheet3!G30</f>
        <v>0</v>
      </c>
      <c r="H30" s="2">
        <f>申报债权统计!H30-Sheet3!H30</f>
        <v>0</v>
      </c>
      <c r="I30" s="2">
        <f>申报债权统计!I30-Sheet3!I30</f>
        <v>0</v>
      </c>
      <c r="J30" s="2">
        <f>申报债权统计!J30-Sheet3!J30</f>
        <v>0</v>
      </c>
      <c r="K30" s="2">
        <f>申报债权统计!K30-Sheet3!K30</f>
        <v>0</v>
      </c>
      <c r="L30" s="2">
        <f>申报债权统计!L30-Sheet3!L30</f>
        <v>0</v>
      </c>
      <c r="M30" s="2" t="e">
        <f>申报债权统计!#REF!-Sheet3!M30</f>
        <v>#REF!</v>
      </c>
      <c r="N30" s="2">
        <f>申报债权统计!M30-Sheet3!N30</f>
        <v>0</v>
      </c>
      <c r="O30" s="2">
        <f>申报债权统计!N30-Sheet3!O30</f>
        <v>0</v>
      </c>
    </row>
    <row r="31" spans="2:15">
      <c r="B31" t="s">
        <v>11034</v>
      </c>
      <c r="C31" t="s">
        <v>11027</v>
      </c>
      <c r="D31" s="2">
        <f>申报债权统计!D31-Sheet3!D31</f>
        <v>0</v>
      </c>
      <c r="E31" s="2">
        <f>申报债权统计!E31-Sheet3!E31</f>
        <v>-3</v>
      </c>
      <c r="F31" s="2">
        <f>申报债权统计!F31-Sheet3!F31</f>
        <v>0</v>
      </c>
      <c r="G31" s="2">
        <f>申报债权统计!G31-Sheet3!G31</f>
        <v>0</v>
      </c>
      <c r="H31" s="2">
        <f>申报债权统计!H31-Sheet3!H31</f>
        <v>0</v>
      </c>
      <c r="I31" s="2">
        <f>申报债权统计!I31-Sheet3!I31</f>
        <v>4</v>
      </c>
      <c r="J31" s="2">
        <f>申报债权统计!J31-Sheet3!J31</f>
        <v>-1</v>
      </c>
      <c r="K31" s="2">
        <f>申报债权统计!K31-Sheet3!K31</f>
        <v>0</v>
      </c>
      <c r="L31" s="2">
        <f>申报债权统计!L31-Sheet3!L31</f>
        <v>0</v>
      </c>
      <c r="M31" s="2" t="e">
        <f>申报债权统计!#REF!-Sheet3!M31</f>
        <v>#REF!</v>
      </c>
      <c r="N31" s="2">
        <f>申报债权统计!M31-Sheet3!N31</f>
        <v>0</v>
      </c>
      <c r="O31" s="2">
        <f>申报债权统计!N31-Sheet3!O31</f>
        <v>0</v>
      </c>
    </row>
    <row r="32" spans="3:15">
      <c r="C32" t="s">
        <v>9757</v>
      </c>
      <c r="D32" s="2">
        <f>申报债权统计!D32-Sheet3!D32</f>
        <v>0</v>
      </c>
      <c r="E32" s="2">
        <f>申报债权统计!E32-Sheet3!E32</f>
        <v>-27265242</v>
      </c>
      <c r="F32" s="2">
        <f>申报债权统计!F32-Sheet3!F32</f>
        <v>0</v>
      </c>
      <c r="G32" s="2">
        <f>申报债权统计!G32-Sheet3!G32</f>
        <v>-27265242</v>
      </c>
      <c r="H32" s="2">
        <f>申报债权统计!H32-Sheet3!H32</f>
        <v>0</v>
      </c>
      <c r="I32" s="2">
        <f>申报债权统计!I32-Sheet3!I32</f>
        <v>27765242</v>
      </c>
      <c r="J32" s="2">
        <f>申报债权统计!J32-Sheet3!J32</f>
        <v>-500000</v>
      </c>
      <c r="K32" s="2">
        <f>申报债权统计!K32-Sheet3!K32</f>
        <v>0</v>
      </c>
      <c r="L32" s="2">
        <f>申报债权统计!L32-Sheet3!L32</f>
        <v>-1.49011611938477e-8</v>
      </c>
      <c r="M32" s="2" t="e">
        <f>申报债权统计!#REF!-Sheet3!M32</f>
        <v>#REF!</v>
      </c>
      <c r="N32" s="2">
        <f>申报债权统计!M32-Sheet3!N32</f>
        <v>0</v>
      </c>
      <c r="O32" s="2">
        <f>申报债权统计!N32-Sheet3!O32</f>
        <v>0</v>
      </c>
    </row>
    <row r="33" spans="4:15">
      <c r="D33" s="2">
        <f>申报债权统计!D33-Sheet3!D33</f>
        <v>0</v>
      </c>
      <c r="E33" s="2">
        <f>申报债权统计!E33-Sheet3!E33</f>
        <v>0</v>
      </c>
      <c r="F33" s="2">
        <f>申报债权统计!F33-Sheet3!F33</f>
        <v>0</v>
      </c>
      <c r="G33" s="2">
        <f>申报债权统计!G33-Sheet3!G33</f>
        <v>0</v>
      </c>
      <c r="H33" s="2">
        <f>申报债权统计!H33-Sheet3!H33</f>
        <v>0</v>
      </c>
      <c r="I33" s="2">
        <f>申报债权统计!I33-Sheet3!I33</f>
        <v>0</v>
      </c>
      <c r="J33" s="2">
        <f>申报债权统计!J33-Sheet3!J33</f>
        <v>0</v>
      </c>
      <c r="K33" s="2">
        <f>申报债权统计!K33-Sheet3!K33</f>
        <v>0</v>
      </c>
      <c r="L33" s="2">
        <f>申报债权统计!L33-Sheet3!L33</f>
        <v>0</v>
      </c>
      <c r="M33" s="2" t="e">
        <f>申报债权统计!#REF!-Sheet3!M33</f>
        <v>#REF!</v>
      </c>
      <c r="N33" s="2">
        <f>申报债权统计!M33-Sheet3!N33</f>
        <v>0</v>
      </c>
      <c r="O33" s="2">
        <f>申报债权统计!N33-Sheet3!O33</f>
        <v>0</v>
      </c>
    </row>
    <row r="34" spans="2:15">
      <c r="B34" t="s">
        <v>11035</v>
      </c>
      <c r="C34" t="s">
        <v>11027</v>
      </c>
      <c r="D34" s="2">
        <f>申报债权统计!D34-Sheet3!D34</f>
        <v>17</v>
      </c>
      <c r="E34" s="2">
        <f>申报债权统计!E34-Sheet3!E34</f>
        <v>19</v>
      </c>
      <c r="F34" s="2">
        <f>申报债权统计!F34-Sheet3!F34</f>
        <v>0</v>
      </c>
      <c r="G34" s="2">
        <f>申报债权统计!G34-Sheet3!G34</f>
        <v>0</v>
      </c>
      <c r="H34" s="2">
        <f>申报债权统计!H34-Sheet3!H34</f>
        <v>0</v>
      </c>
      <c r="I34" s="2">
        <f>申报债权统计!I34-Sheet3!I34</f>
        <v>14</v>
      </c>
      <c r="J34" s="2">
        <f>申报债权统计!J34-Sheet3!J34</f>
        <v>-16</v>
      </c>
      <c r="K34" s="2">
        <f>申报债权统计!K34-Sheet3!K34</f>
        <v>0</v>
      </c>
      <c r="L34" s="2">
        <f>申报债权统计!L34-Sheet3!L34</f>
        <v>0</v>
      </c>
      <c r="M34" s="2" t="e">
        <f>申报债权统计!#REF!-Sheet3!M34</f>
        <v>#REF!</v>
      </c>
      <c r="N34" s="2">
        <f>申报债权统计!M34-Sheet3!N34</f>
        <v>0</v>
      </c>
      <c r="O34" s="2">
        <f>申报债权统计!N34-Sheet3!O34</f>
        <v>0</v>
      </c>
    </row>
    <row r="35" spans="3:15">
      <c r="C35" t="s">
        <v>9757</v>
      </c>
      <c r="D35" s="2">
        <f>申报债权统计!D35-Sheet3!D35</f>
        <v>102379721.0106</v>
      </c>
      <c r="E35" s="2">
        <f>申报债权统计!E35-Sheet3!E35</f>
        <v>219003576.56</v>
      </c>
      <c r="F35" s="2">
        <f>申报债权统计!F35-Sheet3!F35</f>
        <v>193857175.73</v>
      </c>
      <c r="G35" s="2">
        <f>申报债权统计!G35-Sheet3!G35</f>
        <v>-5911308.50999999</v>
      </c>
      <c r="H35" s="2">
        <f>申报债权统计!H35-Sheet3!H35</f>
        <v>31057709.34</v>
      </c>
      <c r="I35" s="2">
        <f>申报债权统计!I35-Sheet3!I35</f>
        <v>63127135.3</v>
      </c>
      <c r="J35" s="2">
        <f>申报债权统计!J35-Sheet3!J35</f>
        <v>-179750990.8494</v>
      </c>
      <c r="K35" s="2">
        <f>申报债权统计!K35-Sheet3!K35</f>
        <v>0</v>
      </c>
      <c r="L35" s="2">
        <f>申报债权统计!L35-Sheet3!L35</f>
        <v>0</v>
      </c>
      <c r="M35" s="2" t="e">
        <f>申报债权统计!#REF!-Sheet3!M35</f>
        <v>#REF!</v>
      </c>
      <c r="N35" s="2">
        <f>申报债权统计!M35-Sheet3!N35</f>
        <v>0</v>
      </c>
      <c r="O35" s="2">
        <f>申报债权统计!N35-Sheet3!O35</f>
        <v>0</v>
      </c>
    </row>
    <row r="36" spans="4:15">
      <c r="D36" s="2">
        <f>申报债权统计!D36-Sheet3!D36</f>
        <v>0</v>
      </c>
      <c r="E36" s="2">
        <f>申报债权统计!E36-Sheet3!E36</f>
        <v>0</v>
      </c>
      <c r="F36" s="2">
        <f>申报债权统计!F36-Sheet3!F36</f>
        <v>0</v>
      </c>
      <c r="G36" s="2">
        <f>申报债权统计!G36-Sheet3!G36</f>
        <v>0</v>
      </c>
      <c r="H36" s="2">
        <f>申报债权统计!H36-Sheet3!H36</f>
        <v>0</v>
      </c>
      <c r="I36" s="2">
        <f>申报债权统计!I36-Sheet3!I36</f>
        <v>0</v>
      </c>
      <c r="J36" s="2">
        <f>申报债权统计!J36-Sheet3!J36</f>
        <v>0</v>
      </c>
      <c r="K36" s="2">
        <f>申报债权统计!K36-Sheet3!K36</f>
        <v>0</v>
      </c>
      <c r="L36" s="2">
        <f>申报债权统计!L36-Sheet3!L36</f>
        <v>0</v>
      </c>
      <c r="M36" s="2" t="e">
        <f>申报债权统计!#REF!-Sheet3!M36</f>
        <v>#REF!</v>
      </c>
      <c r="N36" s="2">
        <f>申报债权统计!M36-Sheet3!N36</f>
        <v>0</v>
      </c>
      <c r="O36" s="2">
        <f>申报债权统计!N36-Sheet3!O36</f>
        <v>0</v>
      </c>
    </row>
    <row r="37" spans="4:15">
      <c r="D37" s="2">
        <f>申报债权统计!D37-Sheet3!D37</f>
        <v>0</v>
      </c>
      <c r="E37" s="2">
        <f>申报债权统计!E37-Sheet3!E37</f>
        <v>0</v>
      </c>
      <c r="F37" s="2">
        <f>申报债权统计!F37-Sheet3!F37</f>
        <v>0</v>
      </c>
      <c r="G37" s="2">
        <f>申报债权统计!G37-Sheet3!G37</f>
        <v>0</v>
      </c>
      <c r="H37" s="2">
        <f>申报债权统计!H37-Sheet3!H37</f>
        <v>0</v>
      </c>
      <c r="I37" s="2">
        <f>申报债权统计!I37-Sheet3!I37</f>
        <v>0</v>
      </c>
      <c r="J37" s="2">
        <f>申报债权统计!J37-Sheet3!J37</f>
        <v>0</v>
      </c>
      <c r="K37" s="2">
        <f>申报债权统计!K37-Sheet3!K37</f>
        <v>0</v>
      </c>
      <c r="L37" s="2">
        <f>申报债权统计!L37-Sheet3!L37</f>
        <v>0</v>
      </c>
      <c r="M37" s="2" t="e">
        <f>申报债权统计!#REF!-Sheet3!M37</f>
        <v>#REF!</v>
      </c>
      <c r="N37" s="2">
        <f>申报债权统计!M37-Sheet3!N37</f>
        <v>0</v>
      </c>
      <c r="O37" s="2">
        <f>申报债权统计!N37-Sheet3!O37</f>
        <v>0</v>
      </c>
    </row>
    <row r="38" spans="1:15">
      <c r="A38">
        <v>5</v>
      </c>
      <c r="B38" t="s">
        <v>11036</v>
      </c>
      <c r="C38" t="s">
        <v>11027</v>
      </c>
      <c r="D38" s="2">
        <f>申报债权统计!D38-Sheet3!D38</f>
        <v>0</v>
      </c>
      <c r="E38" s="2">
        <f>申报债权统计!E38-Sheet3!E38</f>
        <v>0</v>
      </c>
      <c r="F38" s="2">
        <f>申报债权统计!F38-Sheet3!F38</f>
        <v>0</v>
      </c>
      <c r="G38" s="2">
        <f>申报债权统计!G38-Sheet3!G38</f>
        <v>0</v>
      </c>
      <c r="H38" s="2">
        <f>申报债权统计!H38-Sheet3!H38</f>
        <v>0</v>
      </c>
      <c r="I38" s="2">
        <f>申报债权统计!I38-Sheet3!I38</f>
        <v>0</v>
      </c>
      <c r="J38" s="2">
        <f>申报债权统计!J38-Sheet3!J38</f>
        <v>0</v>
      </c>
      <c r="K38" s="2">
        <f>申报债权统计!K38-Sheet3!K38</f>
        <v>0</v>
      </c>
      <c r="L38" s="2">
        <f>申报债权统计!L38-Sheet3!L38</f>
        <v>0</v>
      </c>
      <c r="M38" s="2" t="e">
        <f>申报债权统计!#REF!-Sheet3!M38</f>
        <v>#REF!</v>
      </c>
      <c r="N38" s="2">
        <f>申报债权统计!M38-Sheet3!N38</f>
        <v>0</v>
      </c>
      <c r="O38" s="2">
        <f>申报债权统计!N38-Sheet3!O38</f>
        <v>0</v>
      </c>
    </row>
    <row r="39" spans="3:15">
      <c r="C39" t="s">
        <v>9757</v>
      </c>
      <c r="D39" s="2">
        <f>申报债权统计!D39-Sheet3!D39</f>
        <v>0</v>
      </c>
      <c r="E39" s="2">
        <f>申报债权统计!E39-Sheet3!E39</f>
        <v>0</v>
      </c>
      <c r="F39" s="2">
        <f>申报债权统计!F39-Sheet3!F39</f>
        <v>0</v>
      </c>
      <c r="G39" s="2">
        <f>申报债权统计!G39-Sheet3!G39</f>
        <v>0</v>
      </c>
      <c r="H39" s="2">
        <f>申报债权统计!H39-Sheet3!H39</f>
        <v>0</v>
      </c>
      <c r="I39" s="2">
        <f>申报债权统计!I39-Sheet3!I39</f>
        <v>0</v>
      </c>
      <c r="J39" s="2">
        <f>申报债权统计!J39-Sheet3!J39</f>
        <v>0</v>
      </c>
      <c r="K39" s="2">
        <f>申报债权统计!K39-Sheet3!K39</f>
        <v>0</v>
      </c>
      <c r="L39" s="2">
        <f>申报债权统计!L39-Sheet3!L39</f>
        <v>9.31322574615479e-10</v>
      </c>
      <c r="M39" s="2" t="e">
        <f>申报债权统计!#REF!-Sheet3!M39</f>
        <v>#REF!</v>
      </c>
      <c r="N39" s="2">
        <f>申报债权统计!M39-Sheet3!N39</f>
        <v>0</v>
      </c>
      <c r="O39" s="2">
        <f>申报债权统计!N39-Sheet3!O39</f>
        <v>0</v>
      </c>
    </row>
    <row r="40" spans="4:15">
      <c r="D40" s="2">
        <f>申报债权统计!D40-Sheet3!D40</f>
        <v>0</v>
      </c>
      <c r="E40" s="2">
        <f>申报债权统计!E40-Sheet3!E40</f>
        <v>0</v>
      </c>
      <c r="F40" s="2">
        <f>申报债权统计!F40-Sheet3!F40</f>
        <v>0</v>
      </c>
      <c r="G40" s="2">
        <f>申报债权统计!G40-Sheet3!G40</f>
        <v>0</v>
      </c>
      <c r="H40" s="2">
        <f>申报债权统计!H40-Sheet3!H40</f>
        <v>0</v>
      </c>
      <c r="I40" s="2">
        <f>申报债权统计!I40-Sheet3!I40</f>
        <v>0</v>
      </c>
      <c r="J40" s="2">
        <f>申报债权统计!J40-Sheet3!J40</f>
        <v>0</v>
      </c>
      <c r="K40" s="2">
        <f>申报债权统计!K40-Sheet3!K40</f>
        <v>0</v>
      </c>
      <c r="L40" s="2">
        <f>申报债权统计!L40-Sheet3!L40</f>
        <v>0</v>
      </c>
      <c r="M40" s="2" t="e">
        <f>申报债权统计!#REF!-Sheet3!M40</f>
        <v>#REF!</v>
      </c>
      <c r="N40" s="2">
        <f>申报债权统计!M40-Sheet3!N40</f>
        <v>0</v>
      </c>
      <c r="O40" s="2">
        <f>申报债权统计!N40-Sheet3!O40</f>
        <v>0</v>
      </c>
    </row>
    <row r="41" spans="1:15">
      <c r="A41">
        <v>6</v>
      </c>
      <c r="B41" t="s">
        <v>11037</v>
      </c>
      <c r="C41" t="s">
        <v>11027</v>
      </c>
      <c r="D41" s="2">
        <f>申报债权统计!D41-Sheet3!D41</f>
        <v>0</v>
      </c>
      <c r="E41" s="2">
        <f>申报债权统计!E41-Sheet3!E41</f>
        <v>0</v>
      </c>
      <c r="F41" s="2">
        <f>申报债权统计!F41-Sheet3!F41</f>
        <v>0</v>
      </c>
      <c r="G41" s="2">
        <f>申报债权统计!G41-Sheet3!G41</f>
        <v>0</v>
      </c>
      <c r="H41" s="2">
        <f>申报债权统计!H41-Sheet3!H41</f>
        <v>0</v>
      </c>
      <c r="I41" s="2">
        <f>申报债权统计!I41-Sheet3!I41</f>
        <v>0</v>
      </c>
      <c r="J41" s="2">
        <f>申报债权统计!J41-Sheet3!J41</f>
        <v>0</v>
      </c>
      <c r="K41" s="2">
        <f>申报债权统计!K41-Sheet3!K41</f>
        <v>0</v>
      </c>
      <c r="L41" s="2">
        <f>申报债权统计!L41-Sheet3!L41</f>
        <v>0</v>
      </c>
      <c r="M41" s="2" t="e">
        <f>申报债权统计!#REF!-Sheet3!M41</f>
        <v>#REF!</v>
      </c>
      <c r="N41" s="2">
        <f>申报债权统计!M41-Sheet3!N41</f>
        <v>0</v>
      </c>
      <c r="O41" s="2">
        <f>申报债权统计!N41-Sheet3!O41</f>
        <v>0</v>
      </c>
    </row>
    <row r="42" spans="3:15">
      <c r="C42" t="s">
        <v>9757</v>
      </c>
      <c r="D42" s="2">
        <f>申报债权统计!D42-Sheet3!D42</f>
        <v>0</v>
      </c>
      <c r="E42" s="2">
        <f>申报债权统计!E42-Sheet3!E42</f>
        <v>0</v>
      </c>
      <c r="F42" s="2">
        <f>申报债权统计!F42-Sheet3!F42</f>
        <v>0</v>
      </c>
      <c r="G42" s="2">
        <f>申报债权统计!G42-Sheet3!G42</f>
        <v>0</v>
      </c>
      <c r="H42" s="2">
        <f>申报债权统计!H42-Sheet3!H42</f>
        <v>0</v>
      </c>
      <c r="I42" s="2">
        <f>申报债权统计!I42-Sheet3!I42</f>
        <v>0</v>
      </c>
      <c r="J42" s="2">
        <f>申报债权统计!J42-Sheet3!J42</f>
        <v>0</v>
      </c>
      <c r="K42" s="2">
        <f>申报债权统计!K42-Sheet3!K42</f>
        <v>0</v>
      </c>
      <c r="L42" s="2">
        <f>申报债权统计!L42-Sheet3!L42</f>
        <v>0</v>
      </c>
      <c r="M42" s="2" t="e">
        <f>申报债权统计!#REF!-Sheet3!M42</f>
        <v>#REF!</v>
      </c>
      <c r="N42" s="2">
        <f>申报债权统计!M42-Sheet3!N42</f>
        <v>0</v>
      </c>
      <c r="O42" s="2">
        <f>申报债权统计!N42-Sheet3!O42</f>
        <v>0</v>
      </c>
    </row>
    <row r="43" spans="4:15">
      <c r="D43" s="2">
        <f>申报债权统计!D43-Sheet3!D43</f>
        <v>0</v>
      </c>
      <c r="E43" s="2">
        <f>申报债权统计!E43-Sheet3!E43</f>
        <v>0</v>
      </c>
      <c r="F43" s="2">
        <f>申报债权统计!F43-Sheet3!F43</f>
        <v>0</v>
      </c>
      <c r="G43" s="2">
        <f>申报债权统计!G43-Sheet3!G43</f>
        <v>0</v>
      </c>
      <c r="H43" s="2">
        <f>申报债权统计!H43-Sheet3!H43</f>
        <v>0</v>
      </c>
      <c r="I43" s="2">
        <f>申报债权统计!I43-Sheet3!I43</f>
        <v>0</v>
      </c>
      <c r="J43" s="2">
        <f>申报债权统计!J43-Sheet3!J43</f>
        <v>0</v>
      </c>
      <c r="K43" s="2">
        <f>申报债权统计!K43-Sheet3!K43</f>
        <v>0</v>
      </c>
      <c r="L43" s="2">
        <f>申报债权统计!L43-Sheet3!L43</f>
        <v>0</v>
      </c>
      <c r="M43" s="2" t="e">
        <f>申报债权统计!#REF!-Sheet3!M43</f>
        <v>#REF!</v>
      </c>
      <c r="N43" s="2">
        <f>申报债权统计!M43-Sheet3!N43</f>
        <v>0</v>
      </c>
      <c r="O43" s="2">
        <f>申报债权统计!N43-Sheet3!O43</f>
        <v>0</v>
      </c>
    </row>
    <row r="44" spans="4:15">
      <c r="D44" s="2">
        <f>申报债权统计!D44-Sheet3!D44</f>
        <v>0</v>
      </c>
      <c r="E44" s="2">
        <f>申报债权统计!E44-Sheet3!E44</f>
        <v>0</v>
      </c>
      <c r="F44" s="2">
        <f>申报债权统计!F44-Sheet3!F44</f>
        <v>0</v>
      </c>
      <c r="G44" s="2">
        <f>申报债权统计!G44-Sheet3!G44</f>
        <v>0</v>
      </c>
      <c r="H44" s="2">
        <f>申报债权统计!H44-Sheet3!H44</f>
        <v>0</v>
      </c>
      <c r="I44" s="2">
        <f>申报债权统计!I44-Sheet3!I44</f>
        <v>0</v>
      </c>
      <c r="J44" s="2">
        <f>申报债权统计!J44-Sheet3!J44</f>
        <v>0</v>
      </c>
      <c r="K44" s="2">
        <f>申报债权统计!K44-Sheet3!K44</f>
        <v>0</v>
      </c>
      <c r="L44" s="2">
        <f>申报债权统计!L44-Sheet3!L44</f>
        <v>0</v>
      </c>
      <c r="M44" s="2" t="e">
        <f>申报债权统计!#REF!-Sheet3!M44</f>
        <v>#REF!</v>
      </c>
      <c r="N44" s="2">
        <f>申报债权统计!M44-Sheet3!N44</f>
        <v>0</v>
      </c>
      <c r="O44" s="2">
        <f>申报债权统计!N44-Sheet3!O44</f>
        <v>0</v>
      </c>
    </row>
    <row r="45" spans="1:15">
      <c r="A45">
        <v>7</v>
      </c>
      <c r="B45" t="s">
        <v>11038</v>
      </c>
      <c r="C45" t="s">
        <v>11027</v>
      </c>
      <c r="D45" s="2">
        <f>申报债权统计!D45-Sheet3!D45</f>
        <v>91</v>
      </c>
      <c r="E45" s="2">
        <f>申报债权统计!E45-Sheet3!E45</f>
        <v>91</v>
      </c>
      <c r="F45" s="2">
        <f>申报债权统计!F45-Sheet3!F45</f>
        <v>0</v>
      </c>
      <c r="G45" s="2">
        <f>申报债权统计!G45-Sheet3!G45</f>
        <v>0</v>
      </c>
      <c r="H45" s="2">
        <f>申报债权统计!H45-Sheet3!H45</f>
        <v>0</v>
      </c>
      <c r="I45" s="2">
        <f>申报债权统计!I45-Sheet3!I45</f>
        <v>0</v>
      </c>
      <c r="J45" s="2">
        <f>申报债权统计!J45-Sheet3!J45</f>
        <v>0</v>
      </c>
      <c r="K45" s="2">
        <f>申报债权统计!K45-Sheet3!K45</f>
        <v>0</v>
      </c>
      <c r="L45" s="2">
        <f>申报债权统计!L45-Sheet3!L45</f>
        <v>0</v>
      </c>
      <c r="M45" s="2" t="e">
        <f>申报债权统计!#REF!-Sheet3!M45</f>
        <v>#REF!</v>
      </c>
      <c r="N45" s="2">
        <f>申报债权统计!M45-Sheet3!N45</f>
        <v>0</v>
      </c>
      <c r="O45" s="2">
        <f>申报债权统计!N45-Sheet3!O45</f>
        <v>0</v>
      </c>
    </row>
    <row r="46" spans="3:15">
      <c r="C46" t="s">
        <v>9757</v>
      </c>
      <c r="D46" s="2">
        <f>申报债权统计!D46-Sheet3!D46</f>
        <v>-702243</v>
      </c>
      <c r="E46" s="2">
        <f>申报债权统计!E46-Sheet3!E46</f>
        <v>-702243</v>
      </c>
      <c r="F46" s="2">
        <f>申报债权统计!F46-Sheet3!F46</f>
        <v>-702243</v>
      </c>
      <c r="G46" s="2">
        <f>申报债权统计!G46-Sheet3!G46</f>
        <v>0</v>
      </c>
      <c r="H46" s="2">
        <f>申报债权统计!H46-Sheet3!H46</f>
        <v>0</v>
      </c>
      <c r="I46" s="2">
        <f>申报债权统计!I46-Sheet3!I46</f>
        <v>0</v>
      </c>
      <c r="J46" s="2">
        <f>申报债权统计!J46-Sheet3!J46</f>
        <v>0</v>
      </c>
      <c r="K46" s="2">
        <f>申报债权统计!K46-Sheet3!K46</f>
        <v>0</v>
      </c>
      <c r="L46" s="2">
        <f>申报债权统计!L46-Sheet3!L46</f>
        <v>0</v>
      </c>
      <c r="M46" s="2" t="e">
        <f>申报债权统计!#REF!-Sheet3!M46</f>
        <v>#REF!</v>
      </c>
      <c r="N46" s="2">
        <f>申报债权统计!M46-Sheet3!N46</f>
        <v>0</v>
      </c>
      <c r="O46" s="2">
        <f>申报债权统计!N46-Sheet3!O46</f>
        <v>0</v>
      </c>
    </row>
    <row r="47" spans="4:15">
      <c r="D47" s="2">
        <f>申报债权统计!D47-Sheet3!D47</f>
        <v>0</v>
      </c>
      <c r="E47" s="2">
        <f>申报债权统计!E47-Sheet3!E47</f>
        <v>0</v>
      </c>
      <c r="F47" s="2">
        <f>申报债权统计!F47-Sheet3!F47</f>
        <v>0</v>
      </c>
      <c r="G47" s="2">
        <f>申报债权统计!G47-Sheet3!G47</f>
        <v>0</v>
      </c>
      <c r="H47" s="2">
        <f>申报债权统计!H47-Sheet3!H47</f>
        <v>0</v>
      </c>
      <c r="I47" s="2">
        <f>申报债权统计!I47-Sheet3!I47</f>
        <v>0</v>
      </c>
      <c r="J47" s="2">
        <f>申报债权统计!J47-Sheet3!J47</f>
        <v>0</v>
      </c>
      <c r="K47" s="2">
        <f>申报债权统计!K47-Sheet3!K47</f>
        <v>0</v>
      </c>
      <c r="L47" s="2">
        <f>申报债权统计!L47-Sheet3!L47</f>
        <v>0</v>
      </c>
      <c r="M47" s="2" t="e">
        <f>申报债权统计!#REF!-Sheet3!M47</f>
        <v>#REF!</v>
      </c>
      <c r="N47" s="2">
        <f>申报债权统计!M47-Sheet3!N47</f>
        <v>0</v>
      </c>
      <c r="O47" s="2">
        <f>申报债权统计!N47-Sheet3!O47</f>
        <v>0</v>
      </c>
    </row>
    <row r="48" spans="2:15">
      <c r="B48" t="s">
        <v>11039</v>
      </c>
      <c r="C48" t="s">
        <v>11027</v>
      </c>
      <c r="D48" s="2">
        <f>申报债权统计!D48-Sheet3!D48</f>
        <v>45</v>
      </c>
      <c r="E48" s="2">
        <f>申报债权统计!E48-Sheet3!E48</f>
        <v>45</v>
      </c>
      <c r="F48" s="2">
        <f>申报债权统计!F48-Sheet3!F48</f>
        <v>0</v>
      </c>
      <c r="G48" s="2">
        <f>申报债权统计!G48-Sheet3!G48</f>
        <v>0</v>
      </c>
      <c r="H48" s="2">
        <f>申报债权统计!H48-Sheet3!H48</f>
        <v>0</v>
      </c>
      <c r="I48" s="2">
        <f>申报债权统计!I48-Sheet3!I48</f>
        <v>0</v>
      </c>
      <c r="J48" s="2">
        <f>申报债权统计!J48-Sheet3!J48</f>
        <v>0</v>
      </c>
      <c r="K48" s="2">
        <f>申报债权统计!K48-Sheet3!K48</f>
        <v>0</v>
      </c>
      <c r="L48" s="2">
        <f>申报债权统计!L48-Sheet3!L48</f>
        <v>0</v>
      </c>
      <c r="M48" s="2" t="e">
        <f>申报债权统计!#REF!-Sheet3!M48</f>
        <v>#REF!</v>
      </c>
      <c r="N48" s="2">
        <f>申报债权统计!M48-Sheet3!N48</f>
        <v>0</v>
      </c>
      <c r="O48" s="2">
        <f>申报债权统计!N48-Sheet3!O48</f>
        <v>0</v>
      </c>
    </row>
    <row r="49" spans="3:15">
      <c r="C49" t="s">
        <v>9757</v>
      </c>
      <c r="D49" s="2">
        <f>申报债权统计!D49-Sheet3!D49</f>
        <v>-22411</v>
      </c>
      <c r="E49" s="2">
        <f>申报债权统计!E49-Sheet3!E49</f>
        <v>-22411</v>
      </c>
      <c r="F49" s="2">
        <f>申报债权统计!F49-Sheet3!F49</f>
        <v>-22411</v>
      </c>
      <c r="G49" s="2">
        <f>申报债权统计!G49-Sheet3!G49</f>
        <v>0</v>
      </c>
      <c r="H49" s="2">
        <f>申报债权统计!H49-Sheet3!H49</f>
        <v>0</v>
      </c>
      <c r="I49" s="2">
        <f>申报债权统计!I49-Sheet3!I49</f>
        <v>0</v>
      </c>
      <c r="J49" s="2">
        <f>申报债权统计!J49-Sheet3!J49</f>
        <v>0</v>
      </c>
      <c r="K49" s="2">
        <f>申报债权统计!K49-Sheet3!K49</f>
        <v>0</v>
      </c>
      <c r="L49" s="2">
        <f>申报债权统计!L49-Sheet3!L49</f>
        <v>0</v>
      </c>
      <c r="M49" s="2" t="e">
        <f>申报债权统计!#REF!-Sheet3!M49</f>
        <v>#REF!</v>
      </c>
      <c r="N49" s="2">
        <f>申报债权统计!M49-Sheet3!N49</f>
        <v>0</v>
      </c>
      <c r="O49" s="2">
        <f>申报债权统计!N49-Sheet3!O49</f>
        <v>0</v>
      </c>
    </row>
    <row r="50" spans="4:15">
      <c r="D50" s="2">
        <f>申报债权统计!D50-Sheet3!D50</f>
        <v>0</v>
      </c>
      <c r="E50" s="2">
        <f>申报债权统计!E50-Sheet3!E50</f>
        <v>0</v>
      </c>
      <c r="F50" s="2">
        <f>申报债权统计!F50-Sheet3!F50</f>
        <v>0</v>
      </c>
      <c r="G50" s="2">
        <f>申报债权统计!G50-Sheet3!G50</f>
        <v>0</v>
      </c>
      <c r="H50" s="2">
        <f>申报债权统计!H50-Sheet3!H50</f>
        <v>0</v>
      </c>
      <c r="I50" s="2">
        <f>申报债权统计!I50-Sheet3!I50</f>
        <v>0</v>
      </c>
      <c r="J50" s="2">
        <f>申报债权统计!J50-Sheet3!J50</f>
        <v>0</v>
      </c>
      <c r="K50" s="2">
        <f>申报债权统计!K50-Sheet3!K50</f>
        <v>0</v>
      </c>
      <c r="L50" s="2">
        <f>申报债权统计!L50-Sheet3!L50</f>
        <v>0</v>
      </c>
      <c r="M50" s="2" t="e">
        <f>申报债权统计!#REF!-Sheet3!M50</f>
        <v>#REF!</v>
      </c>
      <c r="N50" s="2">
        <f>申报债权统计!M50-Sheet3!N50</f>
        <v>0</v>
      </c>
      <c r="O50" s="2">
        <f>申报债权统计!N50-Sheet3!O50</f>
        <v>0</v>
      </c>
    </row>
    <row r="51" spans="2:15">
      <c r="B51" t="s">
        <v>11040</v>
      </c>
      <c r="C51" t="s">
        <v>11027</v>
      </c>
      <c r="D51" s="2">
        <f>申报债权统计!D51-Sheet3!D51</f>
        <v>136</v>
      </c>
      <c r="E51" s="2">
        <f>申报债权统计!E51-Sheet3!E51</f>
        <v>136</v>
      </c>
      <c r="F51" s="2">
        <f>申报债权统计!F51-Sheet3!F51</f>
        <v>0</v>
      </c>
      <c r="G51" s="2">
        <f>申报债权统计!G51-Sheet3!G51</f>
        <v>0</v>
      </c>
      <c r="H51" s="2">
        <f>申报债权统计!H51-Sheet3!H51</f>
        <v>0</v>
      </c>
      <c r="I51" s="2">
        <f>申报债权统计!I51-Sheet3!I51</f>
        <v>0</v>
      </c>
      <c r="J51" s="2">
        <f>申报债权统计!J51-Sheet3!J51</f>
        <v>0</v>
      </c>
      <c r="K51" s="2">
        <f>申报债权统计!K51-Sheet3!K51</f>
        <v>0</v>
      </c>
      <c r="L51" s="2">
        <f>申报债权统计!L51-Sheet3!L51</f>
        <v>0</v>
      </c>
      <c r="M51" s="2" t="e">
        <f>申报债权统计!#REF!-Sheet3!M51</f>
        <v>#REF!</v>
      </c>
      <c r="N51" s="2">
        <f>申报债权统计!M51-Sheet3!N51</f>
        <v>0</v>
      </c>
      <c r="O51" s="2">
        <f>申报债权统计!N51-Sheet3!O51</f>
        <v>0</v>
      </c>
    </row>
    <row r="52" spans="3:15">
      <c r="C52" t="s">
        <v>9757</v>
      </c>
      <c r="D52" s="2">
        <f>申报债权统计!D52-Sheet3!D52</f>
        <v>-724654</v>
      </c>
      <c r="E52" s="2">
        <f>申报债权统计!E52-Sheet3!E52</f>
        <v>-724654</v>
      </c>
      <c r="F52" s="2">
        <f>申报债权统计!F52-Sheet3!F52</f>
        <v>-724654</v>
      </c>
      <c r="G52" s="2">
        <f>申报债权统计!G52-Sheet3!G52</f>
        <v>0</v>
      </c>
      <c r="H52" s="2">
        <f>申报债权统计!H52-Sheet3!H52</f>
        <v>0</v>
      </c>
      <c r="I52" s="2">
        <f>申报债权统计!I52-Sheet3!I52</f>
        <v>0</v>
      </c>
      <c r="J52" s="2">
        <f>申报债权统计!J52-Sheet3!J52</f>
        <v>0</v>
      </c>
      <c r="K52" s="2">
        <f>申报债权统计!K52-Sheet3!K52</f>
        <v>0</v>
      </c>
      <c r="L52" s="2">
        <f>申报债权统计!L52-Sheet3!L52</f>
        <v>0</v>
      </c>
      <c r="M52" s="2" t="e">
        <f>申报债权统计!#REF!-Sheet3!M52</f>
        <v>#REF!</v>
      </c>
      <c r="N52" s="2">
        <f>申报债权统计!M52-Sheet3!N52</f>
        <v>0</v>
      </c>
      <c r="O52" s="2">
        <f>申报债权统计!N52-Sheet3!O52</f>
        <v>0</v>
      </c>
    </row>
    <row r="53" spans="4:15">
      <c r="D53" s="2">
        <f>申报债权统计!D53-Sheet3!D53</f>
        <v>0</v>
      </c>
      <c r="E53" s="2">
        <f>申报债权统计!E53-Sheet3!E53</f>
        <v>0</v>
      </c>
      <c r="F53" s="2">
        <f>申报债权统计!F53-Sheet3!F53</f>
        <v>0</v>
      </c>
      <c r="G53" s="2">
        <f>申报债权统计!G53-Sheet3!G53</f>
        <v>0</v>
      </c>
      <c r="H53" s="2">
        <f>申报债权统计!H53-Sheet3!H53</f>
        <v>0</v>
      </c>
      <c r="I53" s="2">
        <f>申报债权统计!I53-Sheet3!I53</f>
        <v>0</v>
      </c>
      <c r="J53" s="2">
        <f>申报债权统计!J53-Sheet3!J53</f>
        <v>0</v>
      </c>
      <c r="K53" s="2">
        <f>申报债权统计!K53-Sheet3!K53</f>
        <v>0</v>
      </c>
      <c r="L53" s="2">
        <f>申报债权统计!L53-Sheet3!L53</f>
        <v>0</v>
      </c>
      <c r="M53" s="2" t="e">
        <f>申报债权统计!#REF!-Sheet3!M53</f>
        <v>#REF!</v>
      </c>
      <c r="N53" s="2">
        <f>申报债权统计!M53-Sheet3!N53</f>
        <v>0</v>
      </c>
      <c r="O53" s="2">
        <f>申报债权统计!N53-Sheet3!O53</f>
        <v>0</v>
      </c>
    </row>
    <row r="54" spans="2:15">
      <c r="B54" t="s">
        <v>11041</v>
      </c>
      <c r="D54" s="2" t="e">
        <f>申报债权统计!D54-Sheet3!D54</f>
        <v>#REF!</v>
      </c>
      <c r="E54" s="2" t="e">
        <f>申报债权统计!E54-Sheet3!E54</f>
        <v>#REF!</v>
      </c>
      <c r="F54" s="2">
        <f>申报债权统计!F54-Sheet3!F54</f>
        <v>0</v>
      </c>
      <c r="G54" s="2">
        <f>申报债权统计!G54-Sheet3!G54</f>
        <v>0</v>
      </c>
      <c r="H54" s="2">
        <f>申报债权统计!H54-Sheet3!H54</f>
        <v>0</v>
      </c>
      <c r="I54" s="2" t="e">
        <f>申报债权统计!I54-Sheet3!I54</f>
        <v>#REF!</v>
      </c>
      <c r="J54" s="2" t="e">
        <f>申报债权统计!J54-Sheet3!J54</f>
        <v>#REF!</v>
      </c>
      <c r="K54" s="2">
        <f>申报债权统计!K54-Sheet3!K54</f>
        <v>0</v>
      </c>
      <c r="L54" s="2" t="e">
        <f>申报债权统计!L54-Sheet3!L54</f>
        <v>#REF!</v>
      </c>
      <c r="M54" s="2" t="e">
        <f>申报债权统计!#REF!-Sheet3!M54</f>
        <v>#REF!</v>
      </c>
      <c r="N54" s="2" t="e">
        <f>申报债权统计!M54-Sheet3!N54</f>
        <v>#REF!</v>
      </c>
      <c r="O54" s="2">
        <f>申报债权统计!N54-Sheet3!O54</f>
        <v>0</v>
      </c>
    </row>
    <row r="55" spans="4:15">
      <c r="D55" s="2" t="e">
        <f>申报债权统计!D55-Sheet3!D55</f>
        <v>#REF!</v>
      </c>
      <c r="E55" s="2" t="e">
        <f>申报债权统计!E55-Sheet3!E55</f>
        <v>#REF!</v>
      </c>
      <c r="F55" s="2" t="e">
        <f>申报债权统计!F55-Sheet3!F55</f>
        <v>#REF!</v>
      </c>
      <c r="G55" s="2" t="e">
        <f>申报债权统计!G55-Sheet3!G55</f>
        <v>#REF!</v>
      </c>
      <c r="H55" s="2" t="e">
        <f>申报债权统计!H55-Sheet3!H55</f>
        <v>#REF!</v>
      </c>
      <c r="I55" s="2" t="e">
        <f>申报债权统计!I55-Sheet3!I55</f>
        <v>#REF!</v>
      </c>
      <c r="J55" s="2" t="e">
        <f>申报债权统计!J55-Sheet3!J55</f>
        <v>#REF!</v>
      </c>
      <c r="K55" s="2" t="e">
        <f>申报债权统计!K55-Sheet3!K55</f>
        <v>#REF!</v>
      </c>
      <c r="L55" s="2" t="e">
        <f>申报债权统计!L55-Sheet3!L55</f>
        <v>#REF!</v>
      </c>
      <c r="M55" s="2" t="e">
        <f>申报债权统计!#REF!-Sheet3!M55</f>
        <v>#REF!</v>
      </c>
      <c r="N55" s="2" t="e">
        <f>申报债权统计!M55-Sheet3!N55</f>
        <v>#REF!</v>
      </c>
      <c r="O55" s="2">
        <f>申报债权统计!N55-Sheet3!O55</f>
        <v>0</v>
      </c>
    </row>
    <row r="56" spans="4:15">
      <c r="D56" s="2">
        <f>申报债权统计!D56-Sheet3!D56</f>
        <v>0</v>
      </c>
      <c r="E56" s="2">
        <f>申报债权统计!E56-Sheet3!E56</f>
        <v>0</v>
      </c>
      <c r="F56" s="2">
        <f>申报债权统计!F56-Sheet3!F56</f>
        <v>0</v>
      </c>
      <c r="G56" s="2">
        <f>申报债权统计!G56-Sheet3!G56</f>
        <v>0</v>
      </c>
      <c r="H56" s="2">
        <f>申报债权统计!H56-Sheet3!H56</f>
        <v>0</v>
      </c>
      <c r="I56" s="2">
        <f>申报债权统计!I56-Sheet3!I56</f>
        <v>0</v>
      </c>
      <c r="J56" s="2">
        <f>申报债权统计!J56-Sheet3!J56</f>
        <v>0</v>
      </c>
      <c r="K56" s="2">
        <f>申报债权统计!K56-Sheet3!K56</f>
        <v>0</v>
      </c>
      <c r="L56" s="2">
        <f>申报债权统计!L56-Sheet3!L56</f>
        <v>0</v>
      </c>
      <c r="M56" s="2" t="e">
        <f>申报债权统计!#REF!-Sheet3!M56</f>
        <v>#REF!</v>
      </c>
      <c r="N56" s="2">
        <f>申报债权统计!M56-Sheet3!N56</f>
        <v>0</v>
      </c>
      <c r="O56" s="2">
        <f>申报债权统计!N56-Sheet3!O56</f>
        <v>0</v>
      </c>
    </row>
    <row r="57" spans="4:15">
      <c r="D57" s="2">
        <f>申报债权统计!D57-Sheet3!D57</f>
        <v>0</v>
      </c>
      <c r="E57" s="2">
        <f>申报债权统计!E57-Sheet3!E57</f>
        <v>0</v>
      </c>
      <c r="F57" s="2">
        <f>申报债权统计!F57-Sheet3!F57</f>
        <v>0</v>
      </c>
      <c r="G57" s="2">
        <f>申报债权统计!G57-Sheet3!G57</f>
        <v>0</v>
      </c>
      <c r="H57" s="2">
        <f>申报债权统计!H57-Sheet3!H57</f>
        <v>0</v>
      </c>
      <c r="I57" s="2">
        <f>申报债权统计!I57-Sheet3!I57</f>
        <v>0</v>
      </c>
      <c r="J57" s="2">
        <f>申报债权统计!J57-Sheet3!J57</f>
        <v>0</v>
      </c>
      <c r="K57" s="2">
        <f>申报债权统计!K57-Sheet3!K57</f>
        <v>0</v>
      </c>
      <c r="L57" s="2">
        <f>申报债权统计!L57-Sheet3!L57</f>
        <v>0</v>
      </c>
      <c r="M57" s="2" t="e">
        <f>申报债权统计!#REF!-Sheet3!M57</f>
        <v>#REF!</v>
      </c>
      <c r="N57" s="2">
        <f>申报债权统计!M57-Sheet3!N57</f>
        <v>0</v>
      </c>
      <c r="O57" s="2">
        <f>申报债权统计!N57-Sheet3!O57</f>
        <v>0</v>
      </c>
    </row>
    <row r="58" spans="4:15">
      <c r="D58" s="2">
        <f>申报债权统计!D58-Sheet3!D58</f>
        <v>0</v>
      </c>
      <c r="E58" s="2">
        <f>申报债权统计!E58-Sheet3!E58</f>
        <v>0</v>
      </c>
      <c r="F58" s="2">
        <f>申报债权统计!F58-Sheet3!F58</f>
        <v>0</v>
      </c>
      <c r="G58" s="2">
        <f>申报债权统计!G58-Sheet3!G58</f>
        <v>0</v>
      </c>
      <c r="H58" s="2">
        <f>申报债权统计!H58-Sheet3!H58</f>
        <v>0</v>
      </c>
      <c r="I58" s="2">
        <f>申报债权统计!I58-Sheet3!I58</f>
        <v>0</v>
      </c>
      <c r="J58" s="2">
        <f>申报债权统计!J58-Sheet3!J58</f>
        <v>0</v>
      </c>
      <c r="K58" s="2">
        <f>申报债权统计!K58-Sheet3!K58</f>
        <v>0</v>
      </c>
      <c r="L58" s="2">
        <f>申报债权统计!L58-Sheet3!L58</f>
        <v>0</v>
      </c>
      <c r="M58" s="2" t="e">
        <f>申报债权统计!#REF!-Sheet3!M58</f>
        <v>#REF!</v>
      </c>
      <c r="N58" s="2">
        <f>申报债权统计!M58-Sheet3!N58</f>
        <v>0</v>
      </c>
      <c r="O58" s="2">
        <f>申报债权统计!N58-Sheet3!O58</f>
        <v>0</v>
      </c>
    </row>
    <row r="59" spans="4:15">
      <c r="D59" s="2">
        <f>申报债权统计!D59-Sheet3!D59</f>
        <v>0</v>
      </c>
      <c r="E59" s="2">
        <f>申报债权统计!E59-Sheet3!E59</f>
        <v>0</v>
      </c>
      <c r="F59" s="2">
        <f>申报债权统计!F59-Sheet3!F59</f>
        <v>0</v>
      </c>
      <c r="G59" s="2">
        <f>申报债权统计!G59-Sheet3!G59</f>
        <v>0</v>
      </c>
      <c r="H59" s="2">
        <f>申报债权统计!H59-Sheet3!H59</f>
        <v>0</v>
      </c>
      <c r="I59" s="2">
        <f>申报债权统计!I59-Sheet3!I59</f>
        <v>0</v>
      </c>
      <c r="J59" s="2">
        <f>申报债权统计!J59-Sheet3!J59</f>
        <v>0</v>
      </c>
      <c r="K59" s="2">
        <f>申报债权统计!K59-Sheet3!K59</f>
        <v>0</v>
      </c>
      <c r="L59" s="2">
        <f>申报债权统计!L59-Sheet3!L59</f>
        <v>0</v>
      </c>
      <c r="M59" s="2" t="e">
        <f>申报债权统计!#REF!-Sheet3!M59</f>
        <v>#REF!</v>
      </c>
      <c r="N59" s="2">
        <f>申报债权统计!M59-Sheet3!N59</f>
        <v>0</v>
      </c>
      <c r="O59" s="2">
        <f>申报债权统计!N59-Sheet3!O59</f>
        <v>0</v>
      </c>
    </row>
    <row r="60" spans="4:15">
      <c r="D60" s="2">
        <f>申报债权统计!D60-Sheet3!D60</f>
        <v>0</v>
      </c>
      <c r="E60" s="2">
        <f>申报债权统计!E60-Sheet3!E60</f>
        <v>0</v>
      </c>
      <c r="F60" s="2">
        <f>申报债权统计!F60-Sheet3!F60</f>
        <v>0</v>
      </c>
      <c r="G60" s="2">
        <f>申报债权统计!G60-Sheet3!G60</f>
        <v>0</v>
      </c>
      <c r="H60" s="2">
        <f>申报债权统计!H60-Sheet3!H60</f>
        <v>0</v>
      </c>
      <c r="I60" s="2">
        <f>申报债权统计!I60-Sheet3!I60</f>
        <v>0</v>
      </c>
      <c r="J60" s="2">
        <f>申报债权统计!J60-Sheet3!J60</f>
        <v>0</v>
      </c>
      <c r="K60" s="2">
        <f>申报债权统计!K60-Sheet3!K60</f>
        <v>0</v>
      </c>
      <c r="L60" s="2">
        <f>申报债权统计!L60-Sheet3!L60</f>
        <v>0</v>
      </c>
      <c r="M60" s="2" t="e">
        <f>申报债权统计!#REF!-Sheet3!M60</f>
        <v>#REF!</v>
      </c>
      <c r="N60" s="2">
        <f>申报债权统计!M60-Sheet3!N60</f>
        <v>0</v>
      </c>
      <c r="O60" s="2">
        <f>申报债权统计!N60-Sheet3!O60</f>
        <v>0</v>
      </c>
    </row>
    <row r="61" spans="4:15">
      <c r="D61" s="2">
        <f>申报债权统计!D61-Sheet3!D61</f>
        <v>0</v>
      </c>
      <c r="E61" s="2">
        <f>申报债权统计!E61-Sheet3!E61</f>
        <v>0</v>
      </c>
      <c r="F61" s="2">
        <f>申报债权统计!F61-Sheet3!F61</f>
        <v>0</v>
      </c>
      <c r="G61" s="2">
        <f>申报债权统计!G61-Sheet3!G61</f>
        <v>0</v>
      </c>
      <c r="H61" s="2">
        <f>申报债权统计!H61-Sheet3!H61</f>
        <v>0</v>
      </c>
      <c r="I61" s="2">
        <f>申报债权统计!I61-Sheet3!I61</f>
        <v>0</v>
      </c>
      <c r="J61" s="2">
        <f>申报债权统计!J61-Sheet3!J61</f>
        <v>0</v>
      </c>
      <c r="K61" s="2">
        <f>申报债权统计!K61-Sheet3!K61</f>
        <v>0</v>
      </c>
      <c r="L61" s="2">
        <f>申报债权统计!L61-Sheet3!L61</f>
        <v>0</v>
      </c>
      <c r="M61" s="2" t="e">
        <f>申报债权统计!#REF!-Sheet3!M61</f>
        <v>#REF!</v>
      </c>
      <c r="N61" s="2">
        <f>申报债权统计!M61-Sheet3!N61</f>
        <v>0</v>
      </c>
      <c r="O61" s="2">
        <f>申报债权统计!N61-Sheet3!O61</f>
        <v>0</v>
      </c>
    </row>
    <row r="62" spans="4:15">
      <c r="D62" s="2">
        <f>申报债权统计!D62-Sheet3!D62</f>
        <v>0</v>
      </c>
      <c r="E62" s="2">
        <f>申报债权统计!E62-Sheet3!E62</f>
        <v>0</v>
      </c>
      <c r="F62" s="2">
        <f>申报债权统计!F62-Sheet3!F62</f>
        <v>0</v>
      </c>
      <c r="G62" s="2">
        <f>申报债权统计!G62-Sheet3!G62</f>
        <v>0</v>
      </c>
      <c r="H62" s="2">
        <f>申报债权统计!H62-Sheet3!H62</f>
        <v>0</v>
      </c>
      <c r="I62" s="2">
        <f>申报债权统计!I62-Sheet3!I62</f>
        <v>0</v>
      </c>
      <c r="J62" s="2">
        <f>申报债权统计!J62-Sheet3!J62</f>
        <v>0</v>
      </c>
      <c r="K62" s="2">
        <f>申报债权统计!K62-Sheet3!K62</f>
        <v>0</v>
      </c>
      <c r="L62" s="2">
        <f>申报债权统计!L62-Sheet3!L62</f>
        <v>0</v>
      </c>
      <c r="M62" s="2" t="e">
        <f>申报债权统计!#REF!-Sheet3!M62</f>
        <v>#REF!</v>
      </c>
      <c r="N62" s="2">
        <f>申报债权统计!M62-Sheet3!N62</f>
        <v>0</v>
      </c>
      <c r="O62" s="2">
        <f>申报债权统计!N62-Sheet3!O62</f>
        <v>0</v>
      </c>
    </row>
    <row r="63" spans="4:15">
      <c r="D63" s="2">
        <f>申报债权统计!D63-Sheet3!D63</f>
        <v>0</v>
      </c>
      <c r="E63" s="2">
        <f>申报债权统计!E63-Sheet3!E63</f>
        <v>0</v>
      </c>
      <c r="F63" s="2">
        <f>申报债权统计!F63-Sheet3!F63</f>
        <v>0</v>
      </c>
      <c r="G63" s="2">
        <f>申报债权统计!G63-Sheet3!G63</f>
        <v>0</v>
      </c>
      <c r="H63" s="2">
        <f>申报债权统计!H63-Sheet3!H63</f>
        <v>0</v>
      </c>
      <c r="I63" s="2">
        <f>申报债权统计!I63-Sheet3!I63</f>
        <v>0</v>
      </c>
      <c r="J63" s="2">
        <f>申报债权统计!J63-Sheet3!J63</f>
        <v>0</v>
      </c>
      <c r="K63" s="2">
        <f>申报债权统计!K63-Sheet3!K63</f>
        <v>0</v>
      </c>
      <c r="L63" s="2">
        <f>申报债权统计!L63-Sheet3!L63</f>
        <v>0</v>
      </c>
      <c r="M63" s="2" t="e">
        <f>申报债权统计!#REF!-Sheet3!M63</f>
        <v>#REF!</v>
      </c>
      <c r="N63" s="2">
        <f>申报债权统计!M63-Sheet3!N63</f>
        <v>0</v>
      </c>
      <c r="O63" s="2">
        <f>申报债权统计!N63-Sheet3!O63</f>
        <v>0</v>
      </c>
    </row>
    <row r="64" spans="4:15">
      <c r="D64" s="2">
        <f>申报债权统计!D64-Sheet3!D64</f>
        <v>0</v>
      </c>
      <c r="E64" s="2">
        <f>申报债权统计!E64-Sheet3!E64</f>
        <v>0</v>
      </c>
      <c r="F64" s="2">
        <f>申报债权统计!F64-Sheet3!F64</f>
        <v>0</v>
      </c>
      <c r="G64" s="2">
        <f>申报债权统计!G64-Sheet3!G64</f>
        <v>0</v>
      </c>
      <c r="H64" s="2">
        <f>申报债权统计!H64-Sheet3!H64</f>
        <v>0</v>
      </c>
      <c r="I64" s="2">
        <f>申报债权统计!I64-Sheet3!I64</f>
        <v>0</v>
      </c>
      <c r="J64" s="2">
        <f>申报债权统计!J64-Sheet3!J64</f>
        <v>0</v>
      </c>
      <c r="K64" s="2">
        <f>申报债权统计!K64-Sheet3!K64</f>
        <v>0</v>
      </c>
      <c r="L64" s="2">
        <f>申报债权统计!L64-Sheet3!L64</f>
        <v>0</v>
      </c>
      <c r="M64" s="2" t="e">
        <f>申报债权统计!#REF!-Sheet3!M64</f>
        <v>#REF!</v>
      </c>
      <c r="N64" s="2">
        <f>申报债权统计!M64-Sheet3!N64</f>
        <v>0</v>
      </c>
      <c r="O64" s="2">
        <f>申报债权统计!N64-Sheet3!O64</f>
        <v>0</v>
      </c>
    </row>
    <row r="65" spans="4:15">
      <c r="D65" s="2">
        <f>申报债权统计!D65-Sheet3!D65</f>
        <v>0</v>
      </c>
      <c r="E65" s="2">
        <f>申报债权统计!E65-Sheet3!E65</f>
        <v>0</v>
      </c>
      <c r="F65" s="2">
        <f>申报债权统计!F65-Sheet3!F65</f>
        <v>0</v>
      </c>
      <c r="G65" s="2">
        <f>申报债权统计!G65-Sheet3!G65</f>
        <v>0</v>
      </c>
      <c r="H65" s="2">
        <f>申报债权统计!H65-Sheet3!H65</f>
        <v>0</v>
      </c>
      <c r="I65" s="2">
        <f>申报债权统计!I65-Sheet3!I65</f>
        <v>0</v>
      </c>
      <c r="J65" s="2">
        <f>申报债权统计!J65-Sheet3!J65</f>
        <v>0</v>
      </c>
      <c r="K65" s="2">
        <f>申报债权统计!K65-Sheet3!K65</f>
        <v>0</v>
      </c>
      <c r="L65" s="2">
        <f>申报债权统计!L65-Sheet3!L65</f>
        <v>0</v>
      </c>
      <c r="M65" s="2" t="e">
        <f>申报债权统计!#REF!-Sheet3!M65</f>
        <v>#REF!</v>
      </c>
      <c r="N65" s="2">
        <f>申报债权统计!M65-Sheet3!N65</f>
        <v>0</v>
      </c>
      <c r="O65" s="2">
        <f>申报债权统计!N65-Sheet3!O65</f>
        <v>0</v>
      </c>
    </row>
    <row r="66" spans="4:15">
      <c r="D66" s="2">
        <f>申报债权统计!D66-Sheet3!D66</f>
        <v>0</v>
      </c>
      <c r="E66" s="2">
        <f>申报债权统计!E66-Sheet3!E66</f>
        <v>0</v>
      </c>
      <c r="F66" s="2">
        <f>申报债权统计!F66-Sheet3!F66</f>
        <v>0</v>
      </c>
      <c r="G66" s="2">
        <f>申报债权统计!G66-Sheet3!G66</f>
        <v>0</v>
      </c>
      <c r="H66" s="2">
        <f>申报债权统计!H66-Sheet3!H66</f>
        <v>0</v>
      </c>
      <c r="I66" s="2">
        <f>申报债权统计!I66-Sheet3!I66</f>
        <v>0</v>
      </c>
      <c r="J66" s="2">
        <f>申报债权统计!J66-Sheet3!J66</f>
        <v>0</v>
      </c>
      <c r="K66" s="2">
        <f>申报债权统计!K66-Sheet3!K66</f>
        <v>0</v>
      </c>
      <c r="L66" s="2">
        <f>申报债权统计!L66-Sheet3!L66</f>
        <v>0</v>
      </c>
      <c r="M66" s="2" t="e">
        <f>申报债权统计!#REF!-Sheet3!M66</f>
        <v>#REF!</v>
      </c>
      <c r="N66" s="2">
        <f>申报债权统计!M66-Sheet3!N66</f>
        <v>0</v>
      </c>
      <c r="O66" s="2">
        <f>申报债权统计!N66-Sheet3!O66</f>
        <v>0</v>
      </c>
    </row>
    <row r="67" spans="4:15">
      <c r="D67" s="2">
        <f>申报债权统计!D67-Sheet3!D67</f>
        <v>0</v>
      </c>
      <c r="E67" s="2">
        <f>申报债权统计!E67-Sheet3!E67</f>
        <v>0</v>
      </c>
      <c r="F67" s="2">
        <f>申报债权统计!F67-Sheet3!F67</f>
        <v>0</v>
      </c>
      <c r="G67" s="2">
        <f>申报债权统计!G67-Sheet3!G67</f>
        <v>0</v>
      </c>
      <c r="H67" s="2">
        <f>申报债权统计!H67-Sheet3!H67</f>
        <v>0</v>
      </c>
      <c r="I67" s="2">
        <f>申报债权统计!I67-Sheet3!I67</f>
        <v>0</v>
      </c>
      <c r="J67" s="2">
        <f>申报债权统计!J67-Sheet3!J67</f>
        <v>0</v>
      </c>
      <c r="K67" s="2">
        <f>申报债权统计!K67-Sheet3!K67</f>
        <v>0</v>
      </c>
      <c r="L67" s="2">
        <f>申报债权统计!L67-Sheet3!L67</f>
        <v>0</v>
      </c>
      <c r="M67" s="2" t="e">
        <f>申报债权统计!#REF!-Sheet3!M67</f>
        <v>#REF!</v>
      </c>
      <c r="N67" s="2">
        <f>申报债权统计!M67-Sheet3!N67</f>
        <v>0</v>
      </c>
      <c r="O67" s="2">
        <f>申报债权统计!N67-Sheet3!O67</f>
        <v>0</v>
      </c>
    </row>
    <row r="68" spans="4:15">
      <c r="D68" s="2">
        <f>申报债权统计!D68-Sheet3!D68</f>
        <v>0</v>
      </c>
      <c r="E68" s="2">
        <f>申报债权统计!E68-Sheet3!E68</f>
        <v>0</v>
      </c>
      <c r="F68" s="2">
        <f>申报债权统计!F68-Sheet3!F68</f>
        <v>0</v>
      </c>
      <c r="G68" s="2">
        <f>申报债权统计!G68-Sheet3!G68</f>
        <v>0</v>
      </c>
      <c r="H68" s="2">
        <f>申报债权统计!H68-Sheet3!H68</f>
        <v>0</v>
      </c>
      <c r="I68" s="2">
        <f>申报债权统计!I68-Sheet3!I68</f>
        <v>0</v>
      </c>
      <c r="J68" s="2">
        <f>申报债权统计!J68-Sheet3!J68</f>
        <v>0</v>
      </c>
      <c r="K68" s="2">
        <f>申报债权统计!K68-Sheet3!K68</f>
        <v>0</v>
      </c>
      <c r="L68" s="2">
        <f>申报债权统计!L68-Sheet3!L68</f>
        <v>0</v>
      </c>
      <c r="M68" s="2" t="e">
        <f>申报债权统计!#REF!-Sheet3!M68</f>
        <v>#REF!</v>
      </c>
      <c r="N68" s="2">
        <f>申报债权统计!M68-Sheet3!N68</f>
        <v>0</v>
      </c>
      <c r="O68" s="2">
        <f>申报债权统计!N68-Sheet3!O68</f>
        <v>0</v>
      </c>
    </row>
    <row r="69" spans="4:15">
      <c r="D69" s="2">
        <f>申报债权统计!D69-Sheet3!D69</f>
        <v>0</v>
      </c>
      <c r="E69" s="2">
        <f>申报债权统计!E69-Sheet3!E69</f>
        <v>0</v>
      </c>
      <c r="F69" s="2">
        <f>申报债权统计!F69-Sheet3!F69</f>
        <v>0</v>
      </c>
      <c r="G69" s="2">
        <f>申报债权统计!G69-Sheet3!G69</f>
        <v>0</v>
      </c>
      <c r="H69" s="2">
        <f>申报债权统计!H69-Sheet3!H69</f>
        <v>0</v>
      </c>
      <c r="I69" s="2">
        <f>申报债权统计!I69-Sheet3!I69</f>
        <v>0</v>
      </c>
      <c r="J69" s="2">
        <f>申报债权统计!J69-Sheet3!J69</f>
        <v>0</v>
      </c>
      <c r="K69" s="2">
        <f>申报债权统计!K69-Sheet3!K69</f>
        <v>0</v>
      </c>
      <c r="L69" s="2">
        <f>申报债权统计!L69-Sheet3!L69</f>
        <v>0</v>
      </c>
      <c r="M69" s="2" t="e">
        <f>申报债权统计!#REF!-Sheet3!M69</f>
        <v>#REF!</v>
      </c>
      <c r="N69" s="2">
        <f>申报债权统计!M69-Sheet3!N69</f>
        <v>0</v>
      </c>
      <c r="O69" s="2">
        <f>申报债权统计!N69-Sheet3!O69</f>
        <v>0</v>
      </c>
    </row>
  </sheetData>
  <autoFilter ref="A2:O69">
    <extLst/>
  </autoFilter>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45"/>
  <sheetViews>
    <sheetView workbookViewId="0">
      <pane xSplit="1" ySplit="2" topLeftCell="B3" activePane="bottomRight" state="frozen"/>
      <selection/>
      <selection pane="topRight"/>
      <selection pane="bottomLeft"/>
      <selection pane="bottomRight" activeCell="H61" sqref="H61"/>
    </sheetView>
  </sheetViews>
  <sheetFormatPr defaultColWidth="9" defaultRowHeight="19" customHeight="1"/>
  <cols>
    <col min="1" max="1" width="12.1363636363636" style="25" customWidth="1"/>
    <col min="2" max="2" width="6.25454545454545" style="26" customWidth="1"/>
    <col min="3" max="3" width="5.88181818181818" style="26" customWidth="1"/>
    <col min="4" max="4" width="8" style="26" customWidth="1"/>
    <col min="5" max="5" width="15" style="27" customWidth="1"/>
    <col min="6" max="7" width="14.1363636363636" style="27" customWidth="1"/>
    <col min="8" max="8" width="12.7545454545455" style="27" customWidth="1"/>
    <col min="9" max="9" width="14.3818181818182" style="27" customWidth="1"/>
    <col min="10" max="10" width="17.1363636363636" style="27" customWidth="1"/>
    <col min="11" max="16" width="12.8818181818182" style="27" customWidth="1"/>
    <col min="17" max="17" width="13.6363636363636" style="27" customWidth="1"/>
    <col min="18" max="18" width="11.3818181818182" style="27" customWidth="1"/>
    <col min="19" max="21" width="13.6363636363636" style="27" customWidth="1"/>
    <col min="22" max="22" width="11.5" style="27" customWidth="1"/>
    <col min="23" max="24" width="11.6363636363636" style="27" customWidth="1"/>
    <col min="25" max="25" width="12" style="27" customWidth="1"/>
    <col min="26" max="26" width="15.8818181818182" style="27" customWidth="1"/>
    <col min="27" max="27" width="17.7545454545455" style="27" customWidth="1"/>
    <col min="28" max="28" width="15.5" style="27" customWidth="1"/>
    <col min="29" max="29" width="13.1363636363636" style="27" customWidth="1"/>
    <col min="30" max="30" width="9" style="27"/>
    <col min="31" max="31" width="13.1363636363636" style="27" customWidth="1"/>
    <col min="32" max="32" width="9.13636363636364" style="27" customWidth="1"/>
    <col min="33" max="33" width="10.1363636363636" style="27" customWidth="1"/>
    <col min="34" max="34" width="9.88181818181818" style="27" customWidth="1"/>
    <col min="35" max="16384" width="9" style="26"/>
  </cols>
  <sheetData>
    <row r="1" s="20" customFormat="1" customHeight="1" spans="1:34">
      <c r="A1" s="28" t="s">
        <v>11043</v>
      </c>
      <c r="B1" s="29" t="s">
        <v>11044</v>
      </c>
      <c r="C1" s="30"/>
      <c r="D1" s="31"/>
      <c r="E1" s="32" t="s">
        <v>11045</v>
      </c>
      <c r="F1" s="33"/>
      <c r="G1" s="33"/>
      <c r="H1" s="33"/>
      <c r="I1" s="33"/>
      <c r="J1" s="45" t="s">
        <v>33</v>
      </c>
      <c r="K1" s="46"/>
      <c r="L1" s="46"/>
      <c r="M1" s="46"/>
      <c r="N1" s="46"/>
      <c r="O1" s="46"/>
      <c r="P1" s="46"/>
      <c r="Q1" s="46"/>
      <c r="R1" s="46"/>
      <c r="S1" s="46"/>
      <c r="T1" s="46"/>
      <c r="U1" s="46"/>
      <c r="V1" s="46"/>
      <c r="W1" s="46"/>
      <c r="X1" s="46"/>
      <c r="Y1" s="46"/>
      <c r="Z1" s="46"/>
      <c r="AA1" s="46"/>
      <c r="AB1" s="53"/>
      <c r="AC1" s="54" t="s">
        <v>9743</v>
      </c>
      <c r="AD1" s="54"/>
      <c r="AE1" s="54"/>
      <c r="AF1" s="54"/>
      <c r="AG1" s="54"/>
      <c r="AH1" s="54"/>
    </row>
    <row r="2" s="21" customFormat="1" ht="42" customHeight="1" spans="1:34">
      <c r="A2" s="34"/>
      <c r="B2" s="35" t="s">
        <v>11046</v>
      </c>
      <c r="C2" s="35" t="s">
        <v>11047</v>
      </c>
      <c r="D2" s="36" t="s">
        <v>11048</v>
      </c>
      <c r="E2" s="37" t="s">
        <v>11049</v>
      </c>
      <c r="F2" s="37" t="s">
        <v>2646</v>
      </c>
      <c r="G2" s="37" t="s">
        <v>21</v>
      </c>
      <c r="H2" s="37" t="s">
        <v>22</v>
      </c>
      <c r="I2" s="37" t="s">
        <v>11050</v>
      </c>
      <c r="J2" s="47" t="s">
        <v>16</v>
      </c>
      <c r="K2" s="47" t="s">
        <v>2646</v>
      </c>
      <c r="L2" s="47" t="s">
        <v>18</v>
      </c>
      <c r="M2" s="47" t="s">
        <v>20</v>
      </c>
      <c r="N2" s="48" t="s">
        <v>21</v>
      </c>
      <c r="O2" s="48" t="s">
        <v>22</v>
      </c>
      <c r="P2" s="48" t="s">
        <v>11051</v>
      </c>
      <c r="Q2" s="50" t="s">
        <v>26</v>
      </c>
      <c r="R2" s="51" t="s">
        <v>11052</v>
      </c>
      <c r="S2" s="52" t="s">
        <v>11053</v>
      </c>
      <c r="T2" s="52" t="s">
        <v>11054</v>
      </c>
      <c r="U2" s="52" t="s">
        <v>2650</v>
      </c>
      <c r="V2" s="52" t="s">
        <v>11055</v>
      </c>
      <c r="W2" s="52" t="s">
        <v>9744</v>
      </c>
      <c r="X2" s="52" t="s">
        <v>9745</v>
      </c>
      <c r="Y2" s="52" t="s">
        <v>11056</v>
      </c>
      <c r="Z2" s="55" t="s">
        <v>11057</v>
      </c>
      <c r="AA2" s="55" t="s">
        <v>11058</v>
      </c>
      <c r="AB2" s="55" t="s">
        <v>11059</v>
      </c>
      <c r="AC2" s="56" t="s">
        <v>9759</v>
      </c>
      <c r="AD2" s="56" t="s">
        <v>10104</v>
      </c>
      <c r="AE2" s="56" t="s">
        <v>10108</v>
      </c>
      <c r="AF2" s="57" t="s">
        <v>10128</v>
      </c>
      <c r="AG2" s="56" t="s">
        <v>11060</v>
      </c>
      <c r="AH2" s="56" t="s">
        <v>9808</v>
      </c>
    </row>
    <row r="3" s="22" customFormat="1" customHeight="1" spans="1:34">
      <c r="A3" s="38" t="s">
        <v>10751</v>
      </c>
      <c r="B3" s="38">
        <v>834</v>
      </c>
      <c r="C3" s="38">
        <f>COUNTA(住宅!B:B)-1</f>
        <v>712</v>
      </c>
      <c r="D3" s="38">
        <v>17</v>
      </c>
      <c r="E3" s="39">
        <f>[2]汇总!$Z$4+[2]汇总!$Z$5+[2]汇总!$Z$6+[2]汇总!$Z$7+[2]汇总!$Z$9+[2]汇总!$Z$10+[2]汇总!$Z$11</f>
        <v>582566306.079702</v>
      </c>
      <c r="F3" s="39">
        <f>[2]汇总!$AC$4+[2]汇总!$AC$5+[2]汇总!$AC$7+[2]汇总!$AC$9+[2]汇总!$AC$10+[2]汇总!$AC$11</f>
        <v>-1585122</v>
      </c>
      <c r="G3" s="39">
        <f>[2]汇总!$AA$4+[2]汇总!$AA$5+[2]汇总!$AA$6+[2]汇总!$AA$7+[2]汇总!$AA$9+[2]汇总!$AA$10+[2]汇总!$AA$11</f>
        <v>3267662</v>
      </c>
      <c r="H3" s="39">
        <f>[2]汇总!$AB$4+[2]汇总!$AB$5+[2]汇总!$AB$6+[2]汇总!$AB$7+[2]汇总!$AB$9+[2]汇总!$AB$10+[2]汇总!$AB$11</f>
        <v>252120</v>
      </c>
      <c r="I3" s="39">
        <f>E3+F3+G3+H3</f>
        <v>584500966.079702</v>
      </c>
      <c r="J3" s="39">
        <f>SUM(住宅!R:R)</f>
        <v>466726041.8</v>
      </c>
      <c r="K3" s="39">
        <f>SUM(住宅!S:S)</f>
        <v>-2176870</v>
      </c>
      <c r="L3" s="39">
        <f>SUM(住宅!T:T)</f>
        <v>129361512.903867</v>
      </c>
      <c r="M3" s="39">
        <f>SUM(住宅!V:V)</f>
        <v>63814000</v>
      </c>
      <c r="N3" s="39">
        <f>SUM(住宅!W:W)</f>
        <v>2966413</v>
      </c>
      <c r="O3" s="39">
        <f>SUM(住宅!X:X)</f>
        <v>219584</v>
      </c>
      <c r="P3" s="39">
        <f>SUM(住宅!AA:AA)</f>
        <v>101845</v>
      </c>
      <c r="Q3" s="39">
        <f>SUM(住宅!AB:AB)</f>
        <v>1348122.88</v>
      </c>
      <c r="R3" s="39"/>
      <c r="S3" s="39">
        <f>SUM(住宅!AD:AD)</f>
        <v>-1753452.53</v>
      </c>
      <c r="T3" s="39"/>
      <c r="U3" s="39">
        <f>SUM(住宅!AC:AC)</f>
        <v>2595322.32</v>
      </c>
      <c r="V3" s="39"/>
      <c r="W3" s="39"/>
      <c r="X3" s="39"/>
      <c r="Y3" s="39"/>
      <c r="Z3" s="39">
        <f>SUM(住宅!AI:AI)</f>
        <v>536017876.47</v>
      </c>
      <c r="AA3" s="39">
        <f>SUM(住宅!AJ:AJ)</f>
        <v>524142961.8</v>
      </c>
      <c r="AB3" s="39">
        <f t="shared" ref="AB3:AB8" si="0">Z3-AA3</f>
        <v>11874914.67</v>
      </c>
      <c r="AC3" s="39"/>
      <c r="AD3" s="39"/>
      <c r="AE3" s="39"/>
      <c r="AF3" s="39"/>
      <c r="AG3" s="39"/>
      <c r="AH3" s="39"/>
    </row>
    <row r="4" s="22" customFormat="1" customHeight="1" spans="1:34">
      <c r="A4" s="38" t="s">
        <v>11061</v>
      </c>
      <c r="B4" s="38">
        <v>109</v>
      </c>
      <c r="C4" s="38">
        <f>COUNTA(车位!B:B)-1</f>
        <v>69</v>
      </c>
      <c r="D4" s="38">
        <v>3</v>
      </c>
      <c r="E4" s="39">
        <f>[2]汇总!$Z$14</f>
        <v>25750000</v>
      </c>
      <c r="F4" s="39">
        <f>[2]汇总!$AC$14</f>
        <v>0</v>
      </c>
      <c r="G4" s="39">
        <f>[2]汇总!$AA$14</f>
        <v>0</v>
      </c>
      <c r="H4" s="39">
        <f>[2]汇总!$AB$14</f>
        <v>0</v>
      </c>
      <c r="I4" s="39">
        <f>E4+F4+G4+H4</f>
        <v>25750000</v>
      </c>
      <c r="J4" s="49">
        <f>SUM(车位!H:H)</f>
        <v>16655000</v>
      </c>
      <c r="K4" s="39"/>
      <c r="L4" s="39"/>
      <c r="M4" s="39"/>
      <c r="N4" s="39"/>
      <c r="O4" s="39"/>
      <c r="P4" s="39"/>
      <c r="Q4" s="39"/>
      <c r="R4" s="39"/>
      <c r="S4" s="39"/>
      <c r="T4" s="39"/>
      <c r="U4" s="39">
        <f>SUM(车位!I:I)</f>
        <v>12357.8</v>
      </c>
      <c r="V4" s="39"/>
      <c r="W4" s="39"/>
      <c r="X4" s="39"/>
      <c r="Y4" s="39"/>
      <c r="Z4" s="39">
        <f>SUM(车位!L:L)</f>
        <v>16667357.8</v>
      </c>
      <c r="AA4" s="39">
        <f>SUM(车位!M:M)</f>
        <v>16667357.8</v>
      </c>
      <c r="AB4" s="39">
        <f t="shared" si="0"/>
        <v>0</v>
      </c>
      <c r="AC4" s="39"/>
      <c r="AD4" s="39"/>
      <c r="AE4" s="39"/>
      <c r="AF4" s="39"/>
      <c r="AG4" s="39"/>
      <c r="AH4" s="39"/>
    </row>
    <row r="5" s="22" customFormat="1" customHeight="1" spans="1:34">
      <c r="A5" s="38" t="s">
        <v>10735</v>
      </c>
      <c r="B5" s="38">
        <v>1543</v>
      </c>
      <c r="C5" s="38">
        <f>COUNTA(商业盒子!B:B)-1</f>
        <v>1280</v>
      </c>
      <c r="D5" s="38">
        <v>5</v>
      </c>
      <c r="E5" s="39">
        <f>[2]汇总!$Z$17</f>
        <v>691156354</v>
      </c>
      <c r="F5" s="39">
        <f>[2]汇总!$AC$17</f>
        <v>5231393</v>
      </c>
      <c r="G5" s="39">
        <f>[2]汇总!$AA$17</f>
        <v>803582</v>
      </c>
      <c r="H5" s="39">
        <f>[2]汇总!$AB$17</f>
        <v>337710</v>
      </c>
      <c r="I5" s="39">
        <f>SUM(E5:H5)</f>
        <v>697529039</v>
      </c>
      <c r="J5" s="39">
        <f>SUM(商业盒子!S:S)</f>
        <v>569155312</v>
      </c>
      <c r="K5" s="39">
        <f>SUM(商业盒子!X:X)</f>
        <v>4529150</v>
      </c>
      <c r="L5" s="39">
        <f>SUM(商业盒子!T:T)</f>
        <v>254816393.918822</v>
      </c>
      <c r="M5" s="39">
        <f>SUM(商业盒子!U:U)</f>
        <v>19740000</v>
      </c>
      <c r="N5" s="39">
        <f>SUM(商业盒子!V:V)</f>
        <v>708863</v>
      </c>
      <c r="O5" s="39">
        <f>SUM(商业盒子!W:W)</f>
        <v>296910</v>
      </c>
      <c r="P5" s="39"/>
      <c r="Q5" s="39"/>
      <c r="R5" s="39">
        <f>SUM(商业盒子!AC:AC)</f>
        <v>542208.3</v>
      </c>
      <c r="S5" s="39">
        <f>SUM(商业盒子!AE:AE)</f>
        <v>186242</v>
      </c>
      <c r="T5" s="39"/>
      <c r="U5" s="39">
        <f>SUM(商业盒子!AD:AD)</f>
        <v>593978.22</v>
      </c>
      <c r="V5" s="39"/>
      <c r="W5" s="39"/>
      <c r="X5" s="39"/>
      <c r="Y5" s="39"/>
      <c r="Z5" s="39">
        <f>SUM(商业盒子!AI:AI)</f>
        <v>595752663.52</v>
      </c>
      <c r="AA5" s="39">
        <f>SUM(商业盒子!AJ:AJ)</f>
        <v>577342190</v>
      </c>
      <c r="AB5" s="39">
        <f t="shared" si="0"/>
        <v>18410473.52</v>
      </c>
      <c r="AC5" s="39"/>
      <c r="AD5" s="39"/>
      <c r="AE5" s="39"/>
      <c r="AF5" s="39"/>
      <c r="AG5" s="39"/>
      <c r="AH5" s="39"/>
    </row>
    <row r="6" s="22" customFormat="1" customHeight="1" spans="1:34">
      <c r="A6" s="38" t="s">
        <v>11062</v>
      </c>
      <c r="B6" s="38">
        <f>COUNTA('[1]9#10#商铺销控表最新'!$B$3:$B$12)</f>
        <v>10</v>
      </c>
      <c r="C6" s="38">
        <f>COUNTA(商铺!B:B)-1</f>
        <v>10</v>
      </c>
      <c r="D6" s="38">
        <v>2</v>
      </c>
      <c r="E6" s="39">
        <f>[2]汇总!$Z$15</f>
        <v>25795983</v>
      </c>
      <c r="F6" s="39">
        <f>[2]汇总!$AC$15</f>
        <v>0</v>
      </c>
      <c r="G6" s="39">
        <f>[2]汇总!$AA$15</f>
        <v>53319</v>
      </c>
      <c r="H6" s="39">
        <f>[2]汇总!$AB$15</f>
        <v>2760</v>
      </c>
      <c r="I6" s="39">
        <f>SUM(E6:H6)</f>
        <v>25852062</v>
      </c>
      <c r="J6" s="39">
        <f>SUM(商铺!P:P)</f>
        <v>21634130</v>
      </c>
      <c r="K6" s="39"/>
      <c r="L6" s="39"/>
      <c r="M6" s="39">
        <f>SUM(商铺!R:R)</f>
        <v>0</v>
      </c>
      <c r="N6" s="39">
        <f>SUM(商铺!S:S)</f>
        <v>33184</v>
      </c>
      <c r="O6" s="39">
        <f>SUM(商铺!T:T)</f>
        <v>1650</v>
      </c>
      <c r="P6" s="39"/>
      <c r="Q6" s="39"/>
      <c r="R6" s="39"/>
      <c r="S6" s="39"/>
      <c r="T6" s="39"/>
      <c r="U6" s="39">
        <f>SUM(商铺!V:V)</f>
        <v>498023.05</v>
      </c>
      <c r="V6" s="39"/>
      <c r="W6" s="39"/>
      <c r="X6" s="39"/>
      <c r="Y6" s="39"/>
      <c r="Z6" s="39">
        <f>SUM(商铺!AA:AA)</f>
        <v>22166987.05</v>
      </c>
      <c r="AA6" s="39">
        <f>SUM(商铺!AB:AB)</f>
        <v>21668964</v>
      </c>
      <c r="AB6" s="39">
        <f t="shared" si="0"/>
        <v>498023.050000001</v>
      </c>
      <c r="AC6" s="39"/>
      <c r="AD6" s="39"/>
      <c r="AE6" s="39"/>
      <c r="AF6" s="39"/>
      <c r="AG6" s="39"/>
      <c r="AH6" s="39"/>
    </row>
    <row r="7" s="22" customFormat="1" customHeight="1" spans="1:34">
      <c r="A7" s="38" t="s">
        <v>11036</v>
      </c>
      <c r="B7" s="38"/>
      <c r="C7" s="38">
        <f>COUNTA('地下商铺租赁 '!B:B)-1</f>
        <v>31</v>
      </c>
      <c r="D7" s="38">
        <f>C7</f>
        <v>31</v>
      </c>
      <c r="E7" s="39"/>
      <c r="F7" s="39"/>
      <c r="G7" s="39"/>
      <c r="H7" s="39"/>
      <c r="I7" s="39">
        <f>SUM(E7:H7)</f>
        <v>0</v>
      </c>
      <c r="J7" s="39"/>
      <c r="K7" s="39"/>
      <c r="L7" s="39"/>
      <c r="M7" s="39"/>
      <c r="N7" s="39"/>
      <c r="O7" s="39"/>
      <c r="P7" s="39"/>
      <c r="Q7" s="39"/>
      <c r="R7" s="39"/>
      <c r="S7" s="39">
        <f>SUM('地下商铺租赁 '!M:M)</f>
        <v>0</v>
      </c>
      <c r="T7" s="39"/>
      <c r="U7" s="39">
        <f>SUM('地下商铺租赁 '!K:K)</f>
        <v>75444</v>
      </c>
      <c r="V7" s="39"/>
      <c r="W7" s="39">
        <f>SUM('地下商铺租赁 '!I:I)</f>
        <v>4560381</v>
      </c>
      <c r="X7" s="39">
        <f>SUM('地下商铺租赁 '!J:J)</f>
        <v>424175.06</v>
      </c>
      <c r="Y7" s="39">
        <f>SUM('地下商铺租赁 '!L:L)</f>
        <v>3743</v>
      </c>
      <c r="Z7" s="39">
        <f>SUM('地下商铺租赁 '!N:N)</f>
        <v>5063743.06</v>
      </c>
      <c r="AA7" s="39">
        <f>SUM('地下商铺租赁 '!O:O)</f>
        <v>4539957</v>
      </c>
      <c r="AB7" s="39">
        <f t="shared" si="0"/>
        <v>523786.06</v>
      </c>
      <c r="AC7" s="39">
        <f>SUMIF('地下商铺租赁 '!P:P,"确认",'地下商铺租赁 '!V:V)</f>
        <v>4375021</v>
      </c>
      <c r="AD7" s="39">
        <f>SUMIF('地下商铺租赁 '!P:P,"待核实1",'地下商铺租赁 '!V:V)</f>
        <v>0</v>
      </c>
      <c r="AE7" s="39">
        <f>SUMIF('地下商铺租赁 '!P:P,"待核实2",'地下商铺租赁 '!V:V)</f>
        <v>0</v>
      </c>
      <c r="AF7" s="39">
        <f>SUMIF('地下商铺租赁 '!P:P,"待核实1、2",'地下商铺租赁 '!V:V)</f>
        <v>0</v>
      </c>
      <c r="AG7" s="39">
        <f>SUMIF('地下商铺租赁 '!P:P,"待核实3",'地下商铺租赁 '!V:V)</f>
        <v>0</v>
      </c>
      <c r="AH7" s="39">
        <f>SUMIF('地下商铺租赁 '!P:P,"不确认",'地下商铺租赁 '!V:V)</f>
        <v>0</v>
      </c>
    </row>
    <row r="8" s="23" customFormat="1" customHeight="1" spans="1:34">
      <c r="A8" s="40" t="s">
        <v>11026</v>
      </c>
      <c r="B8" s="40"/>
      <c r="C8" s="40">
        <f>COUNTA('表5-退房债权 '!C:C)-1</f>
        <v>74</v>
      </c>
      <c r="D8" s="41">
        <v>2</v>
      </c>
      <c r="E8" s="42"/>
      <c r="F8" s="42"/>
      <c r="G8" s="42"/>
      <c r="H8" s="42"/>
      <c r="I8" s="39">
        <f>SUM(E8:H8)</f>
        <v>0</v>
      </c>
      <c r="J8" s="42" t="e">
        <f>SUM('表5-退房债权 '!#REF!)</f>
        <v>#REF!</v>
      </c>
      <c r="K8" s="42" t="e">
        <f>SUM('表5-退房债权 '!#REF!)</f>
        <v>#REF!</v>
      </c>
      <c r="L8" s="42"/>
      <c r="M8" s="42" t="e">
        <f>SUM('表5-退房债权 '!#REF!)</f>
        <v>#REF!</v>
      </c>
      <c r="N8" s="42" t="e">
        <f>SUM('表5-退房债权 '!#REF!)</f>
        <v>#REF!</v>
      </c>
      <c r="O8" s="42" t="e">
        <f>SUM('表5-退房债权 '!#REF!)</f>
        <v>#REF!</v>
      </c>
      <c r="P8" s="42"/>
      <c r="Q8" s="42"/>
      <c r="R8" s="42"/>
      <c r="S8" s="42"/>
      <c r="T8" s="42" t="e">
        <f>SUM('表5-退房债权 '!#REF!)</f>
        <v>#REF!</v>
      </c>
      <c r="U8" s="42" t="e">
        <f>SUM('表5-退房债权 '!#REF!)+'表5-退房债权 '!#REF!</f>
        <v>#REF!</v>
      </c>
      <c r="V8" s="42" t="e">
        <f>SUM('表5-退房债权 '!#REF!)</f>
        <v>#REF!</v>
      </c>
      <c r="W8" s="42"/>
      <c r="X8" s="42"/>
      <c r="Y8" s="42" t="e">
        <f>SUM('表5-退房债权 '!#REF!)</f>
        <v>#REF!</v>
      </c>
      <c r="Z8" s="42">
        <f>SUM('表5-退房债权 '!I:I)</f>
        <v>32397953.4646657</v>
      </c>
      <c r="AA8" s="42" t="e">
        <f>SUM('表5-退房债权 '!#REF!)</f>
        <v>#REF!</v>
      </c>
      <c r="AB8" s="39" t="e">
        <f t="shared" si="0"/>
        <v>#REF!</v>
      </c>
      <c r="AC8" s="39" t="e">
        <f>SUMIF('表5-退房债权 '!#REF!,"确认",'表5-退房债权 '!N:N)</f>
        <v>#REF!</v>
      </c>
      <c r="AD8" s="39" t="e">
        <f>SUMIF('表5-退房债权 '!#REF!,"待核实1",'表5-退房债权 '!N:N)</f>
        <v>#REF!</v>
      </c>
      <c r="AE8" s="39" t="e">
        <f>SUMIF('表5-退房债权 '!#REF!,"待核实2",'表5-退房债权 '!N:N)</f>
        <v>#REF!</v>
      </c>
      <c r="AF8" s="39" t="e">
        <f>SUMIF('表5-退房债权 '!#REF!,"待核实1、2",'表5-退房债权 '!N:N)</f>
        <v>#REF!</v>
      </c>
      <c r="AG8" s="39" t="e">
        <f>SUMIF('表5-退房债权 '!#REF!,"待核实3",'表5-退房债权 '!N:N)</f>
        <v>#REF!</v>
      </c>
      <c r="AH8" s="39" t="e">
        <f>SUMIF('表5-退房债权 '!#REF!,"不确认",'表5-退房债权 '!N:N)</f>
        <v>#REF!</v>
      </c>
    </row>
    <row r="9" s="24" customFormat="1" customHeight="1" spans="1:34">
      <c r="A9" s="43" t="s">
        <v>9754</v>
      </c>
      <c r="B9" s="43">
        <f t="shared" ref="B9:I9" si="1">SUM(B3:B8)</f>
        <v>2496</v>
      </c>
      <c r="C9" s="43">
        <f t="shared" si="1"/>
        <v>2176</v>
      </c>
      <c r="D9" s="43">
        <f t="shared" si="1"/>
        <v>60</v>
      </c>
      <c r="E9" s="44">
        <f t="shared" si="1"/>
        <v>1325268643.0797</v>
      </c>
      <c r="F9" s="44">
        <f t="shared" si="1"/>
        <v>3646271</v>
      </c>
      <c r="G9" s="44">
        <f t="shared" si="1"/>
        <v>4124563</v>
      </c>
      <c r="H9" s="44">
        <f t="shared" si="1"/>
        <v>592590</v>
      </c>
      <c r="I9" s="44">
        <f t="shared" si="1"/>
        <v>1333632067.0797</v>
      </c>
      <c r="J9" s="44" t="e">
        <f t="shared" ref="J9:AI9" si="2">SUM(J3:J8)</f>
        <v>#REF!</v>
      </c>
      <c r="K9" s="44" t="e">
        <f t="shared" si="2"/>
        <v>#REF!</v>
      </c>
      <c r="L9" s="44">
        <f t="shared" si="2"/>
        <v>384177906.822689</v>
      </c>
      <c r="M9" s="44" t="e">
        <f t="shared" si="2"/>
        <v>#REF!</v>
      </c>
      <c r="N9" s="44" t="e">
        <f t="shared" si="2"/>
        <v>#REF!</v>
      </c>
      <c r="O9" s="44" t="e">
        <f t="shared" si="2"/>
        <v>#REF!</v>
      </c>
      <c r="P9" s="44">
        <f t="shared" si="2"/>
        <v>101845</v>
      </c>
      <c r="Q9" s="44">
        <f t="shared" si="2"/>
        <v>1348122.88</v>
      </c>
      <c r="R9" s="44">
        <f t="shared" si="2"/>
        <v>542208.3</v>
      </c>
      <c r="S9" s="44">
        <f t="shared" si="2"/>
        <v>-1567210.53</v>
      </c>
      <c r="T9" s="44" t="e">
        <f t="shared" si="2"/>
        <v>#REF!</v>
      </c>
      <c r="U9" s="44" t="e">
        <f t="shared" si="2"/>
        <v>#REF!</v>
      </c>
      <c r="V9" s="44" t="e">
        <f t="shared" si="2"/>
        <v>#REF!</v>
      </c>
      <c r="W9" s="44">
        <f t="shared" si="2"/>
        <v>4560381</v>
      </c>
      <c r="X9" s="44">
        <f t="shared" si="2"/>
        <v>424175.06</v>
      </c>
      <c r="Y9" s="44" t="e">
        <f t="shared" si="2"/>
        <v>#REF!</v>
      </c>
      <c r="Z9" s="44">
        <f t="shared" si="2"/>
        <v>1208066581.36467</v>
      </c>
      <c r="AA9" s="44" t="e">
        <f t="shared" si="2"/>
        <v>#REF!</v>
      </c>
      <c r="AB9" s="44" t="e">
        <f t="shared" si="2"/>
        <v>#REF!</v>
      </c>
      <c r="AC9" s="44" t="e">
        <f t="shared" si="2"/>
        <v>#REF!</v>
      </c>
      <c r="AD9" s="44" t="e">
        <f t="shared" si="2"/>
        <v>#REF!</v>
      </c>
      <c r="AE9" s="44" t="e">
        <f t="shared" si="2"/>
        <v>#REF!</v>
      </c>
      <c r="AF9" s="44" t="e">
        <f t="shared" si="2"/>
        <v>#REF!</v>
      </c>
      <c r="AG9" s="44" t="e">
        <f t="shared" si="2"/>
        <v>#REF!</v>
      </c>
      <c r="AH9" s="44" t="e">
        <f t="shared" si="2"/>
        <v>#REF!</v>
      </c>
    </row>
    <row r="45" customHeight="1" spans="2:2">
      <c r="B45" s="26" t="s">
        <v>205</v>
      </c>
    </row>
  </sheetData>
  <mergeCells count="5">
    <mergeCell ref="B1:D1"/>
    <mergeCell ref="E1:I1"/>
    <mergeCell ref="J1:AB1"/>
    <mergeCell ref="AC1:AH1"/>
    <mergeCell ref="A1:A2"/>
  </mergeCells>
  <pageMargins left="0.75" right="0.75" top="1" bottom="1" header="0.5" footer="0.5"/>
  <headerFooter/>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5"/>
  <sheetViews>
    <sheetView topLeftCell="A40" workbookViewId="0">
      <selection activeCell="H61" sqref="H61"/>
    </sheetView>
  </sheetViews>
  <sheetFormatPr defaultColWidth="9.81818181818182" defaultRowHeight="15"/>
  <cols>
    <col min="1" max="1" width="18.0909090909091" style="4" customWidth="1"/>
    <col min="2" max="2" width="24.6363636363636" style="4" customWidth="1"/>
    <col min="3" max="3" width="17.7272727272727" style="5" customWidth="1"/>
    <col min="4" max="4" width="16.4636363636364" style="6" customWidth="1"/>
    <col min="5" max="5" width="17" style="7" customWidth="1"/>
    <col min="6" max="8" width="9.81818181818182" style="4"/>
    <col min="9" max="9" width="18.0909090909091" style="4" customWidth="1"/>
    <col min="10" max="11" width="16.4636363636364" style="8"/>
    <col min="12" max="16384" width="9.81818181818182" style="4"/>
  </cols>
  <sheetData>
    <row r="1" s="4" customFormat="1" spans="1:11">
      <c r="A1" s="9" t="s">
        <v>11063</v>
      </c>
      <c r="B1" s="9" t="s">
        <v>11064</v>
      </c>
      <c r="C1" s="5" t="s">
        <v>11065</v>
      </c>
      <c r="D1" s="10" t="s">
        <v>11066</v>
      </c>
      <c r="E1" s="11" t="s">
        <v>10999</v>
      </c>
      <c r="I1" s="9" t="s">
        <v>11063</v>
      </c>
      <c r="J1" s="8" t="s">
        <v>10998</v>
      </c>
      <c r="K1" s="8" t="s">
        <v>10999</v>
      </c>
    </row>
    <row r="2" s="4" customFormat="1" spans="1:11">
      <c r="A2" s="12" t="s">
        <v>11004</v>
      </c>
      <c r="B2" s="12" t="s">
        <v>11067</v>
      </c>
      <c r="C2" s="5">
        <v>3308165.68</v>
      </c>
      <c r="D2" s="13">
        <v>43313</v>
      </c>
      <c r="E2" s="7">
        <v>2424885.44</v>
      </c>
      <c r="I2" s="12" t="s">
        <v>11004</v>
      </c>
      <c r="J2" s="8">
        <f>SUMIF(A:A,I2,C:C)</f>
        <v>3682793.14</v>
      </c>
      <c r="K2" s="8">
        <f>SUMIF(A:A,I2,E:E)-0.03</f>
        <v>2650527.76</v>
      </c>
    </row>
    <row r="3" s="4" customFormat="1" spans="1:11">
      <c r="A3" s="12" t="s">
        <v>11004</v>
      </c>
      <c r="B3" s="12" t="s">
        <v>11067</v>
      </c>
      <c r="C3" s="5">
        <v>174344.38</v>
      </c>
      <c r="D3" s="13">
        <v>43313</v>
      </c>
      <c r="E3" s="7">
        <v>127794.43</v>
      </c>
      <c r="I3" s="12" t="s">
        <v>11006</v>
      </c>
      <c r="J3" s="8">
        <f>SUMIF(A:A,I3,C:C)</f>
        <v>1922534.64</v>
      </c>
      <c r="K3" s="8">
        <f>SUMIF(A:A,I3,E:E)</f>
        <v>326617.29</v>
      </c>
    </row>
    <row r="4" s="4" customFormat="1" spans="1:11">
      <c r="A4" s="12" t="s">
        <v>11004</v>
      </c>
      <c r="B4" s="12" t="s">
        <v>11067</v>
      </c>
      <c r="C4" s="5">
        <v>170428.71</v>
      </c>
      <c r="D4" s="13">
        <v>43862</v>
      </c>
      <c r="E4" s="7">
        <v>77800.71</v>
      </c>
      <c r="I4" s="12" t="s">
        <v>11068</v>
      </c>
      <c r="J4" s="8">
        <f>SUMIF(A:A,I4,C:C)</f>
        <v>34878.73</v>
      </c>
      <c r="K4" s="8">
        <f>SUMIF(A:A,I4,E:E)</f>
        <v>6375.11</v>
      </c>
    </row>
    <row r="5" s="4" customFormat="1" spans="1:11">
      <c r="A5" s="12" t="s">
        <v>11006</v>
      </c>
      <c r="B5" s="12" t="s">
        <v>11069</v>
      </c>
      <c r="C5" s="5">
        <v>213614.96</v>
      </c>
      <c r="D5" s="13">
        <v>44562</v>
      </c>
      <c r="E5" s="7">
        <v>16555.16</v>
      </c>
      <c r="I5" s="12" t="s">
        <v>11008</v>
      </c>
      <c r="J5" s="8">
        <f>SUMIF(A:A,I5,C:C)</f>
        <v>5112.86</v>
      </c>
      <c r="K5" s="8">
        <f>SUMIF(A:A,I5,E:E)</f>
        <v>2334.02</v>
      </c>
    </row>
    <row r="6" s="4" customFormat="1" spans="1:11">
      <c r="A6" s="12" t="s">
        <v>11068</v>
      </c>
      <c r="B6" s="12" t="s">
        <v>11007</v>
      </c>
      <c r="C6" s="5">
        <v>1226.89</v>
      </c>
      <c r="D6" s="13">
        <v>44621</v>
      </c>
      <c r="E6" s="7">
        <v>95.08</v>
      </c>
      <c r="I6" s="12" t="s">
        <v>11009</v>
      </c>
      <c r="J6" s="8">
        <f>SUMIF(A:A,I6,C:C)</f>
        <v>3408.57</v>
      </c>
      <c r="K6" s="8">
        <f>SUMIF(A:A,I6,E:E)</f>
        <v>1556.01</v>
      </c>
    </row>
    <row r="7" s="4" customFormat="1" spans="1:11">
      <c r="A7" s="12" t="s">
        <v>11068</v>
      </c>
      <c r="B7" s="12" t="s">
        <v>11007</v>
      </c>
      <c r="C7" s="5">
        <v>1226.89</v>
      </c>
      <c r="D7" s="13">
        <v>44682</v>
      </c>
      <c r="E7" s="7">
        <v>57.66</v>
      </c>
      <c r="I7" s="12" t="s">
        <v>11010</v>
      </c>
      <c r="J7" s="8">
        <f>SUMIF(A:A,I7,C:C)</f>
        <v>11930.01</v>
      </c>
      <c r="K7" s="8">
        <f>SUMIF(A:A,I7,E:E)</f>
        <v>5446.05</v>
      </c>
    </row>
    <row r="8" s="4" customFormat="1" spans="1:11">
      <c r="A8" s="12" t="s">
        <v>11068</v>
      </c>
      <c r="B8" s="12" t="s">
        <v>11007</v>
      </c>
      <c r="C8" s="5">
        <v>1226.89</v>
      </c>
      <c r="D8" s="13">
        <v>44713</v>
      </c>
      <c r="E8" s="7">
        <v>42.33</v>
      </c>
      <c r="I8" s="12" t="s">
        <v>11011</v>
      </c>
      <c r="J8" s="8">
        <f>SUMIF(A:A,I8,C:C)</f>
        <v>44064</v>
      </c>
      <c r="K8" s="8">
        <f>SUMIF(A:A,I8,E:E)</f>
        <v>10285.05</v>
      </c>
    </row>
    <row r="9" s="4" customFormat="1" spans="1:11">
      <c r="A9" s="12" t="s">
        <v>11006</v>
      </c>
      <c r="B9" s="14" t="s">
        <v>11069</v>
      </c>
      <c r="C9" s="5">
        <v>213614.96</v>
      </c>
      <c r="D9" s="13">
        <v>44652</v>
      </c>
      <c r="E9" s="7">
        <v>7369.72</v>
      </c>
      <c r="I9" s="15" t="s">
        <v>11012</v>
      </c>
      <c r="J9" s="8">
        <f>SUMIF(A:A,I9,C:C)</f>
        <v>2819.41</v>
      </c>
      <c r="K9" s="8">
        <f>SUMIF(A:A,I9,E:E)</f>
        <v>468.47</v>
      </c>
    </row>
    <row r="10" s="4" customFormat="1" spans="1:11">
      <c r="A10" s="12" t="s">
        <v>11068</v>
      </c>
      <c r="B10" s="12" t="s">
        <v>11007</v>
      </c>
      <c r="C10" s="5">
        <v>1226.89</v>
      </c>
      <c r="D10" s="13">
        <v>44743</v>
      </c>
      <c r="E10" s="7">
        <v>23.31</v>
      </c>
      <c r="J10" s="8">
        <f>SUM(J2:J9)</f>
        <v>5707541.36</v>
      </c>
      <c r="K10" s="8">
        <f>SUM(K2:K9)</f>
        <v>3003609.76</v>
      </c>
    </row>
    <row r="11" s="4" customFormat="1" spans="1:11">
      <c r="A11" s="12" t="s">
        <v>11006</v>
      </c>
      <c r="B11" s="14" t="s">
        <v>11069</v>
      </c>
      <c r="C11" s="5">
        <v>213614.96</v>
      </c>
      <c r="D11" s="13">
        <v>44470</v>
      </c>
      <c r="E11" s="7">
        <v>25633.8</v>
      </c>
      <c r="I11" s="18"/>
      <c r="J11" s="8"/>
      <c r="K11" s="8"/>
    </row>
    <row r="12" s="4" customFormat="1" spans="1:11">
      <c r="A12" s="12" t="s">
        <v>11068</v>
      </c>
      <c r="B12" s="12" t="s">
        <v>11007</v>
      </c>
      <c r="C12" s="5">
        <v>1402.16</v>
      </c>
      <c r="D12" s="13">
        <v>44531</v>
      </c>
      <c r="E12" s="7">
        <v>168.26</v>
      </c>
      <c r="I12" s="18"/>
      <c r="J12" s="8"/>
      <c r="K12" s="8"/>
    </row>
    <row r="13" s="4" customFormat="1" spans="1:11">
      <c r="A13" s="12" t="s">
        <v>11068</v>
      </c>
      <c r="B13" s="12" t="s">
        <v>11007</v>
      </c>
      <c r="C13" s="5">
        <v>1226.89</v>
      </c>
      <c r="D13" s="13">
        <v>44562</v>
      </c>
      <c r="E13" s="7">
        <v>129.44</v>
      </c>
      <c r="I13" s="18"/>
      <c r="J13" s="8"/>
      <c r="K13" s="8"/>
    </row>
    <row r="14" s="4" customFormat="1" spans="1:11">
      <c r="A14" s="12" t="s">
        <v>11068</v>
      </c>
      <c r="B14" s="12" t="s">
        <v>11007</v>
      </c>
      <c r="C14" s="5">
        <v>1226.89</v>
      </c>
      <c r="D14" s="13">
        <v>44593</v>
      </c>
      <c r="E14" s="7">
        <v>117.17</v>
      </c>
      <c r="I14" s="18"/>
      <c r="J14" s="8"/>
      <c r="K14" s="8"/>
    </row>
    <row r="15" s="4" customFormat="1" spans="1:11">
      <c r="A15" s="12" t="s">
        <v>11068</v>
      </c>
      <c r="B15" s="12" t="s">
        <v>11007</v>
      </c>
      <c r="C15" s="5">
        <v>1226.89</v>
      </c>
      <c r="D15" s="13">
        <v>44652</v>
      </c>
      <c r="E15" s="7">
        <v>72.39</v>
      </c>
      <c r="I15" s="18"/>
      <c r="J15" s="8"/>
      <c r="K15" s="8"/>
    </row>
    <row r="16" s="4" customFormat="1" spans="1:11">
      <c r="A16" s="12" t="s">
        <v>11004</v>
      </c>
      <c r="B16" s="12" t="s">
        <v>11067</v>
      </c>
      <c r="C16" s="5">
        <v>29854.37</v>
      </c>
      <c r="D16" s="13">
        <v>43435</v>
      </c>
      <c r="E16" s="7">
        <v>20047.21</v>
      </c>
      <c r="I16" s="18"/>
      <c r="J16" s="8"/>
      <c r="K16" s="8"/>
    </row>
    <row r="17" s="4" customFormat="1" spans="1:11">
      <c r="A17" s="12" t="s">
        <v>11008</v>
      </c>
      <c r="B17" s="12" t="s">
        <v>11070</v>
      </c>
      <c r="C17" s="5">
        <v>5112.86</v>
      </c>
      <c r="D17" s="13">
        <v>43862</v>
      </c>
      <c r="E17" s="7">
        <v>2334.02</v>
      </c>
      <c r="I17" s="18"/>
      <c r="J17" s="8"/>
      <c r="K17" s="8"/>
    </row>
    <row r="18" s="4" customFormat="1" spans="1:11">
      <c r="A18" s="12" t="s">
        <v>11009</v>
      </c>
      <c r="B18" s="12" t="s">
        <v>11071</v>
      </c>
      <c r="C18" s="5">
        <v>3408.57</v>
      </c>
      <c r="D18" s="13">
        <v>43862</v>
      </c>
      <c r="E18" s="7">
        <v>1556.01</v>
      </c>
      <c r="I18" s="18"/>
      <c r="J18" s="8"/>
      <c r="K18" s="8"/>
    </row>
    <row r="19" s="4" customFormat="1" spans="1:11">
      <c r="A19" s="12" t="s">
        <v>11010</v>
      </c>
      <c r="B19" s="12" t="s">
        <v>11072</v>
      </c>
      <c r="C19" s="5">
        <v>11930.01</v>
      </c>
      <c r="D19" s="13">
        <v>43862</v>
      </c>
      <c r="E19" s="7">
        <v>5446.05</v>
      </c>
      <c r="I19" s="18"/>
      <c r="J19" s="8"/>
      <c r="K19" s="8"/>
    </row>
    <row r="20" s="4" customFormat="1" spans="1:11">
      <c r="A20" s="12" t="s">
        <v>11068</v>
      </c>
      <c r="B20" s="12" t="s">
        <v>11007</v>
      </c>
      <c r="C20" s="5">
        <v>1402.16</v>
      </c>
      <c r="D20" s="13">
        <v>44044</v>
      </c>
      <c r="E20" s="7">
        <v>516.7</v>
      </c>
      <c r="I20" s="18"/>
      <c r="J20" s="8"/>
      <c r="K20" s="8"/>
    </row>
    <row r="21" s="4" customFormat="1" spans="1:11">
      <c r="A21" s="12" t="s">
        <v>11006</v>
      </c>
      <c r="B21" s="14" t="s">
        <v>11069</v>
      </c>
      <c r="C21" s="5">
        <v>213614.96</v>
      </c>
      <c r="D21" s="13">
        <v>44743</v>
      </c>
      <c r="E21" s="7"/>
      <c r="I21" s="18"/>
      <c r="J21" s="8"/>
      <c r="K21" s="8"/>
    </row>
    <row r="22" s="4" customFormat="1" spans="1:11">
      <c r="A22" s="12" t="s">
        <v>11068</v>
      </c>
      <c r="B22" s="12" t="s">
        <v>11007</v>
      </c>
      <c r="C22" s="5">
        <v>1226.89</v>
      </c>
      <c r="D22" s="13">
        <v>44805</v>
      </c>
      <c r="E22" s="7"/>
      <c r="I22" s="18"/>
      <c r="J22" s="8"/>
      <c r="K22" s="8"/>
    </row>
    <row r="23" s="4" customFormat="1" spans="1:11">
      <c r="A23" s="12" t="s">
        <v>11006</v>
      </c>
      <c r="B23" s="14" t="s">
        <v>11069</v>
      </c>
      <c r="C23" s="5">
        <v>213614.96</v>
      </c>
      <c r="D23" s="13">
        <v>44013</v>
      </c>
      <c r="E23" s="7">
        <v>74658.43</v>
      </c>
      <c r="I23" s="18"/>
      <c r="J23" s="8"/>
      <c r="K23" s="8"/>
    </row>
    <row r="24" s="4" customFormat="1" spans="1:11">
      <c r="A24" s="12" t="s">
        <v>11068</v>
      </c>
      <c r="B24" s="12" t="s">
        <v>11007</v>
      </c>
      <c r="C24" s="5">
        <v>1402.16</v>
      </c>
      <c r="D24" s="13">
        <v>44075</v>
      </c>
      <c r="E24" s="7">
        <v>490.05</v>
      </c>
      <c r="I24" s="18"/>
      <c r="J24" s="8"/>
      <c r="K24" s="8"/>
    </row>
    <row r="25" s="4" customFormat="1" spans="1:11">
      <c r="A25" s="12" t="s">
        <v>11011</v>
      </c>
      <c r="B25" s="12" t="s">
        <v>11011</v>
      </c>
      <c r="C25" s="5">
        <v>24364.8</v>
      </c>
      <c r="D25" s="13">
        <v>43466</v>
      </c>
      <c r="E25" s="7">
        <v>7674.91</v>
      </c>
      <c r="I25" s="18"/>
      <c r="J25" s="8"/>
      <c r="K25" s="8"/>
    </row>
    <row r="26" s="4" customFormat="1" spans="1:11">
      <c r="A26" s="12" t="s">
        <v>11068</v>
      </c>
      <c r="B26" s="12" t="s">
        <v>11007</v>
      </c>
      <c r="C26" s="5">
        <v>1402.16</v>
      </c>
      <c r="D26" s="13">
        <v>44136</v>
      </c>
      <c r="E26" s="7">
        <v>452.9</v>
      </c>
      <c r="I26" s="18"/>
      <c r="J26" s="8"/>
      <c r="K26" s="8"/>
    </row>
    <row r="27" s="4" customFormat="1" spans="1:11">
      <c r="A27" s="12" t="s">
        <v>11011</v>
      </c>
      <c r="B27" s="12" t="s">
        <v>11011</v>
      </c>
      <c r="C27" s="5">
        <v>19699.2</v>
      </c>
      <c r="D27" s="13">
        <v>43831</v>
      </c>
      <c r="E27" s="7">
        <v>2610.14</v>
      </c>
      <c r="I27" s="18"/>
      <c r="J27" s="8"/>
      <c r="K27" s="8"/>
    </row>
    <row r="28" s="4" customFormat="1" spans="1:11">
      <c r="A28" s="12" t="s">
        <v>11068</v>
      </c>
      <c r="B28" s="12" t="s">
        <v>11007</v>
      </c>
      <c r="C28" s="5">
        <v>1402.16</v>
      </c>
      <c r="D28" s="13">
        <v>44501</v>
      </c>
      <c r="E28" s="7">
        <v>197</v>
      </c>
      <c r="I28" s="18"/>
      <c r="J28" s="8"/>
      <c r="K28" s="8"/>
    </row>
    <row r="29" s="4" customFormat="1" spans="1:11">
      <c r="A29" s="12" t="s">
        <v>11068</v>
      </c>
      <c r="B29" s="12" t="s">
        <v>11007</v>
      </c>
      <c r="C29" s="5">
        <v>1402.16</v>
      </c>
      <c r="D29" s="13">
        <v>44105</v>
      </c>
      <c r="E29" s="7">
        <v>473.23</v>
      </c>
      <c r="I29" s="18"/>
      <c r="J29" s="8"/>
      <c r="K29" s="8"/>
    </row>
    <row r="30" s="4" customFormat="1" spans="1:11">
      <c r="A30" s="14" t="s">
        <v>11068</v>
      </c>
      <c r="B30" s="12" t="s">
        <v>11007</v>
      </c>
      <c r="C30" s="5">
        <v>1402.16</v>
      </c>
      <c r="D30" s="13">
        <v>44166</v>
      </c>
      <c r="E30" s="7">
        <v>427.66</v>
      </c>
      <c r="I30" s="18"/>
      <c r="J30" s="8"/>
      <c r="K30" s="8"/>
    </row>
    <row r="31" s="4" customFormat="1" spans="1:11">
      <c r="A31" s="12" t="s">
        <v>11006</v>
      </c>
      <c r="B31" s="14" t="s">
        <v>11069</v>
      </c>
      <c r="C31" s="5">
        <v>213614.96</v>
      </c>
      <c r="D31" s="13">
        <v>44105</v>
      </c>
      <c r="E31" s="7">
        <v>65152.56</v>
      </c>
      <c r="I31" s="18"/>
      <c r="J31" s="8"/>
      <c r="K31" s="8"/>
    </row>
    <row r="32" s="4" customFormat="1" spans="1:11">
      <c r="A32" s="14" t="s">
        <v>11068</v>
      </c>
      <c r="B32" s="12" t="s">
        <v>11007</v>
      </c>
      <c r="C32" s="5">
        <v>1402.16</v>
      </c>
      <c r="D32" s="13">
        <v>44197</v>
      </c>
      <c r="E32" s="7">
        <v>403.82</v>
      </c>
      <c r="I32" s="18"/>
      <c r="J32" s="8"/>
      <c r="K32" s="8"/>
    </row>
    <row r="33" s="4" customFormat="1" spans="1:11">
      <c r="A33" s="14" t="s">
        <v>11068</v>
      </c>
      <c r="B33" s="12" t="s">
        <v>11007</v>
      </c>
      <c r="C33" s="5">
        <v>1402.16</v>
      </c>
      <c r="D33" s="13">
        <v>44317</v>
      </c>
      <c r="E33" s="7">
        <v>323.2</v>
      </c>
      <c r="I33" s="18"/>
      <c r="J33" s="8"/>
      <c r="K33" s="8"/>
    </row>
    <row r="34" s="4" customFormat="1" spans="1:11">
      <c r="A34" s="14" t="s">
        <v>11068</v>
      </c>
      <c r="B34" s="12" t="s">
        <v>11007</v>
      </c>
      <c r="C34" s="5">
        <v>1402.16</v>
      </c>
      <c r="D34" s="13">
        <v>44409</v>
      </c>
      <c r="E34" s="7">
        <v>260.8</v>
      </c>
      <c r="I34" s="18"/>
      <c r="J34" s="8"/>
      <c r="K34" s="8"/>
    </row>
    <row r="35" s="4" customFormat="1" spans="1:11">
      <c r="A35" s="14" t="s">
        <v>11068</v>
      </c>
      <c r="B35" s="12" t="s">
        <v>11007</v>
      </c>
      <c r="C35" s="5">
        <v>1402.16</v>
      </c>
      <c r="D35" s="13">
        <v>44470</v>
      </c>
      <c r="E35" s="7">
        <v>218.04</v>
      </c>
      <c r="I35" s="18"/>
      <c r="J35" s="8"/>
      <c r="K35" s="8"/>
    </row>
    <row r="36" s="4" customFormat="1" spans="1:11">
      <c r="A36" s="15" t="s">
        <v>11068</v>
      </c>
      <c r="B36" s="12" t="s">
        <v>11007</v>
      </c>
      <c r="C36" s="5">
        <v>1402.16</v>
      </c>
      <c r="D36" s="13">
        <v>44440</v>
      </c>
      <c r="E36" s="11">
        <v>232.06</v>
      </c>
      <c r="I36" s="18"/>
      <c r="J36" s="8"/>
      <c r="K36" s="8"/>
    </row>
    <row r="37" s="4" customFormat="1" spans="1:11">
      <c r="A37" s="16" t="s">
        <v>11006</v>
      </c>
      <c r="B37" s="12" t="s">
        <v>11069</v>
      </c>
      <c r="C37" s="5">
        <v>213614.96</v>
      </c>
      <c r="D37" s="13">
        <v>44378</v>
      </c>
      <c r="E37" s="7">
        <v>35353.28</v>
      </c>
      <c r="I37" s="18"/>
      <c r="J37" s="8"/>
      <c r="K37" s="8"/>
    </row>
    <row r="38" s="4" customFormat="1" spans="1:11">
      <c r="A38" s="16" t="s">
        <v>11068</v>
      </c>
      <c r="B38" s="12" t="s">
        <v>11007</v>
      </c>
      <c r="C38" s="5">
        <v>1402.16</v>
      </c>
      <c r="D38" s="13">
        <v>44256</v>
      </c>
      <c r="E38" s="7">
        <v>364.56</v>
      </c>
      <c r="I38" s="18"/>
      <c r="J38" s="8"/>
      <c r="K38" s="8"/>
    </row>
    <row r="39" s="4" customFormat="1" spans="1:11">
      <c r="A39" s="12" t="s">
        <v>11006</v>
      </c>
      <c r="B39" s="14" t="s">
        <v>11069</v>
      </c>
      <c r="C39" s="5">
        <v>213614.96</v>
      </c>
      <c r="D39" s="13">
        <v>44197</v>
      </c>
      <c r="E39" s="7">
        <v>55539.89</v>
      </c>
      <c r="I39" s="18"/>
      <c r="J39" s="8"/>
      <c r="K39" s="8"/>
    </row>
    <row r="40" s="4" customFormat="1" spans="1:11">
      <c r="A40" s="17" t="s">
        <v>11068</v>
      </c>
      <c r="B40" s="17" t="s">
        <v>11007</v>
      </c>
      <c r="C40" s="5">
        <v>1402.16</v>
      </c>
      <c r="D40" s="13" t="s">
        <v>11073</v>
      </c>
      <c r="E40" s="7">
        <v>342.83</v>
      </c>
      <c r="I40" s="18"/>
      <c r="J40" s="8"/>
      <c r="K40" s="8"/>
    </row>
    <row r="41" s="4" customFormat="1" spans="1:11">
      <c r="A41" s="17" t="s">
        <v>11068</v>
      </c>
      <c r="B41" s="17" t="s">
        <v>11007</v>
      </c>
      <c r="C41" s="5">
        <v>1402.16</v>
      </c>
      <c r="D41" s="13" t="s">
        <v>11074</v>
      </c>
      <c r="E41" s="7">
        <v>271.32</v>
      </c>
      <c r="I41" s="18"/>
      <c r="J41" s="8"/>
      <c r="K41" s="8"/>
    </row>
    <row r="42" s="4" customFormat="1" spans="1:11">
      <c r="A42" s="17" t="s">
        <v>11068</v>
      </c>
      <c r="B42" s="17" t="s">
        <v>11007</v>
      </c>
      <c r="C42" s="5">
        <v>1226.89</v>
      </c>
      <c r="D42" s="13" t="s">
        <v>11075</v>
      </c>
      <c r="E42" s="7">
        <v>1.23</v>
      </c>
      <c r="I42" s="18"/>
      <c r="J42" s="8"/>
      <c r="K42" s="8"/>
    </row>
    <row r="43" s="4" customFormat="1" spans="1:11">
      <c r="A43" s="17" t="s">
        <v>11068</v>
      </c>
      <c r="B43" s="17" t="s">
        <v>11007</v>
      </c>
      <c r="C43" s="5">
        <v>1402.16</v>
      </c>
      <c r="D43" s="13" t="s">
        <v>11076</v>
      </c>
      <c r="E43" s="7">
        <v>389.8</v>
      </c>
      <c r="I43" s="18"/>
      <c r="J43" s="8"/>
      <c r="K43" s="8"/>
    </row>
    <row r="44" s="4" customFormat="1" spans="1:11">
      <c r="A44" s="17" t="s">
        <v>11068</v>
      </c>
      <c r="B44" s="17" t="s">
        <v>11007</v>
      </c>
      <c r="C44" s="5">
        <v>1402.16</v>
      </c>
      <c r="D44" s="13" t="s">
        <v>11077</v>
      </c>
      <c r="E44" s="7">
        <v>304.27</v>
      </c>
      <c r="I44" s="18"/>
      <c r="J44" s="8"/>
      <c r="K44" s="8"/>
    </row>
    <row r="45" s="4" customFormat="1" spans="1:11">
      <c r="A45" s="15" t="s">
        <v>11006</v>
      </c>
      <c r="B45" s="17" t="s">
        <v>11069</v>
      </c>
      <c r="C45" s="5">
        <v>213614.96</v>
      </c>
      <c r="D45" s="13">
        <v>44287</v>
      </c>
      <c r="E45" s="7">
        <v>46354.45</v>
      </c>
      <c r="I45" s="18"/>
      <c r="J45" s="8"/>
      <c r="K45" s="8"/>
    </row>
    <row r="46" s="4" customFormat="1" spans="1:11">
      <c r="A46" s="15" t="s">
        <v>11012</v>
      </c>
      <c r="B46" s="15" t="s">
        <v>11078</v>
      </c>
      <c r="C46" s="5">
        <v>130.12</v>
      </c>
      <c r="D46" s="13" t="s">
        <v>11079</v>
      </c>
      <c r="E46" s="7"/>
      <c r="I46" s="18"/>
      <c r="J46" s="8"/>
      <c r="K46" s="8"/>
    </row>
    <row r="47" s="4" customFormat="1" spans="1:11">
      <c r="A47" s="15" t="s">
        <v>11012</v>
      </c>
      <c r="B47" s="15" t="s">
        <v>11078</v>
      </c>
      <c r="C47" s="5">
        <v>130.13</v>
      </c>
      <c r="D47" s="13" t="s">
        <v>11075</v>
      </c>
      <c r="E47" s="7">
        <v>0.13</v>
      </c>
      <c r="I47" s="18"/>
      <c r="J47" s="8"/>
      <c r="K47" s="8"/>
    </row>
    <row r="48" s="4" customFormat="1" spans="1:11">
      <c r="A48" s="15" t="s">
        <v>11012</v>
      </c>
      <c r="B48" s="15" t="s">
        <v>11078</v>
      </c>
      <c r="C48" s="5">
        <v>130.13</v>
      </c>
      <c r="D48" s="13" t="s">
        <v>11080</v>
      </c>
      <c r="E48" s="7">
        <v>4.49</v>
      </c>
      <c r="I48" s="18"/>
      <c r="J48" s="8"/>
      <c r="K48" s="8"/>
    </row>
    <row r="49" s="4" customFormat="1" spans="1:11">
      <c r="A49" s="15" t="s">
        <v>11012</v>
      </c>
      <c r="B49" s="15" t="s">
        <v>11078</v>
      </c>
      <c r="C49" s="5">
        <v>130.12</v>
      </c>
      <c r="D49" s="13" t="s">
        <v>11081</v>
      </c>
      <c r="E49" s="7">
        <v>6.12</v>
      </c>
      <c r="I49" s="18"/>
      <c r="J49" s="8"/>
      <c r="K49" s="8"/>
    </row>
    <row r="50" s="4" customFormat="1" spans="1:11">
      <c r="A50" s="15" t="s">
        <v>11012</v>
      </c>
      <c r="B50" s="15" t="s">
        <v>11078</v>
      </c>
      <c r="C50" s="5">
        <v>130.13</v>
      </c>
      <c r="D50" s="13" t="s">
        <v>11082</v>
      </c>
      <c r="E50" s="7">
        <v>8.2</v>
      </c>
      <c r="I50" s="18"/>
      <c r="J50" s="8"/>
      <c r="K50" s="8"/>
    </row>
    <row r="51" s="4" customFormat="1" spans="1:11">
      <c r="A51" s="15" t="s">
        <v>11012</v>
      </c>
      <c r="B51" s="15" t="s">
        <v>11078</v>
      </c>
      <c r="C51" s="5">
        <v>130.12</v>
      </c>
      <c r="D51" s="13" t="s">
        <v>11083</v>
      </c>
      <c r="E51" s="7">
        <v>10.08</v>
      </c>
      <c r="I51" s="18"/>
      <c r="J51" s="8"/>
      <c r="K51" s="8"/>
    </row>
    <row r="52" s="4" customFormat="1" spans="1:11">
      <c r="A52" s="15" t="s">
        <v>11012</v>
      </c>
      <c r="B52" s="15" t="s">
        <v>11078</v>
      </c>
      <c r="C52" s="5">
        <v>130.13</v>
      </c>
      <c r="D52" s="13" t="s">
        <v>11084</v>
      </c>
      <c r="E52" s="7">
        <v>12.43</v>
      </c>
      <c r="I52" s="18"/>
      <c r="J52" s="8"/>
      <c r="K52" s="8"/>
    </row>
    <row r="53" s="4" customFormat="1" spans="1:11">
      <c r="A53" s="15" t="s">
        <v>11012</v>
      </c>
      <c r="B53" s="15" t="s">
        <v>11078</v>
      </c>
      <c r="C53" s="5">
        <v>146.46</v>
      </c>
      <c r="D53" s="13" t="s">
        <v>11085</v>
      </c>
      <c r="E53" s="7">
        <v>15.45</v>
      </c>
      <c r="I53" s="18"/>
      <c r="J53" s="8"/>
      <c r="K53" s="8"/>
    </row>
    <row r="54" s="4" customFormat="1" spans="1:11">
      <c r="A54" s="15" t="s">
        <v>11012</v>
      </c>
      <c r="B54" s="15" t="s">
        <v>11078</v>
      </c>
      <c r="C54" s="5">
        <v>225</v>
      </c>
      <c r="D54" s="13" t="s">
        <v>11086</v>
      </c>
      <c r="E54" s="7">
        <v>27</v>
      </c>
      <c r="I54" s="18"/>
      <c r="J54" s="8"/>
      <c r="K54" s="8"/>
    </row>
    <row r="55" s="4" customFormat="1" spans="1:11">
      <c r="A55" s="15" t="s">
        <v>11012</v>
      </c>
      <c r="B55" s="15" t="s">
        <v>11078</v>
      </c>
      <c r="C55" s="5">
        <v>98.1</v>
      </c>
      <c r="D55" s="13" t="s">
        <v>11087</v>
      </c>
      <c r="E55" s="7">
        <v>13.78</v>
      </c>
      <c r="I55" s="18"/>
      <c r="J55" s="8"/>
      <c r="K55" s="8"/>
    </row>
    <row r="56" s="4" customFormat="1" spans="1:11">
      <c r="A56" s="15" t="s">
        <v>11012</v>
      </c>
      <c r="B56" s="15" t="s">
        <v>11078</v>
      </c>
      <c r="C56" s="5">
        <v>98.11</v>
      </c>
      <c r="D56" s="13" t="s">
        <v>11088</v>
      </c>
      <c r="E56" s="7">
        <v>15.26</v>
      </c>
      <c r="I56" s="18"/>
      <c r="J56" s="8"/>
      <c r="K56" s="8"/>
    </row>
    <row r="57" s="4" customFormat="1" spans="1:11">
      <c r="A57" s="15" t="s">
        <v>11012</v>
      </c>
      <c r="B57" s="15" t="s">
        <v>11078</v>
      </c>
      <c r="C57" s="5">
        <v>98.11</v>
      </c>
      <c r="D57" s="13" t="s">
        <v>11089</v>
      </c>
      <c r="E57" s="7">
        <v>16.24</v>
      </c>
      <c r="I57" s="18"/>
      <c r="J57" s="8"/>
      <c r="K57" s="8"/>
    </row>
    <row r="58" s="4" customFormat="1" spans="1:11">
      <c r="A58" s="15" t="s">
        <v>11012</v>
      </c>
      <c r="B58" s="15" t="s">
        <v>11078</v>
      </c>
      <c r="C58" s="5">
        <v>98.11</v>
      </c>
      <c r="D58" s="13" t="s">
        <v>11090</v>
      </c>
      <c r="E58" s="7">
        <v>18.25</v>
      </c>
      <c r="I58" s="18"/>
      <c r="J58" s="8"/>
      <c r="K58" s="8"/>
    </row>
    <row r="59" s="4" customFormat="1" spans="1:11">
      <c r="A59" s="15" t="s">
        <v>11012</v>
      </c>
      <c r="B59" s="15" t="s">
        <v>11078</v>
      </c>
      <c r="C59" s="5">
        <v>98.1</v>
      </c>
      <c r="D59" s="13" t="s">
        <v>11074</v>
      </c>
      <c r="E59" s="7">
        <v>18.98</v>
      </c>
      <c r="I59" s="18"/>
      <c r="J59" s="8"/>
      <c r="K59" s="8"/>
    </row>
    <row r="60" s="4" customFormat="1" spans="1:11">
      <c r="A60" s="15" t="s">
        <v>11012</v>
      </c>
      <c r="B60" s="15" t="s">
        <v>11078</v>
      </c>
      <c r="C60" s="5">
        <v>98.11</v>
      </c>
      <c r="D60" s="13" t="s">
        <v>11077</v>
      </c>
      <c r="E60" s="7">
        <v>21.29</v>
      </c>
      <c r="I60" s="18"/>
      <c r="J60" s="8"/>
      <c r="K60" s="8"/>
    </row>
    <row r="61" s="4" customFormat="1" spans="1:11">
      <c r="A61" s="15" t="s">
        <v>11012</v>
      </c>
      <c r="B61" s="15" t="s">
        <v>11078</v>
      </c>
      <c r="C61" s="5">
        <v>98.11</v>
      </c>
      <c r="D61" s="13" t="s">
        <v>11091</v>
      </c>
      <c r="E61" s="7">
        <v>22.61</v>
      </c>
      <c r="I61" s="18"/>
      <c r="J61" s="8"/>
      <c r="K61" s="8"/>
    </row>
    <row r="62" s="4" customFormat="1" spans="1:11">
      <c r="A62" s="15" t="s">
        <v>11012</v>
      </c>
      <c r="B62" s="15" t="s">
        <v>11078</v>
      </c>
      <c r="C62" s="5">
        <v>98.11</v>
      </c>
      <c r="D62" s="13" t="s">
        <v>11073</v>
      </c>
      <c r="E62" s="7">
        <v>23.99</v>
      </c>
      <c r="I62" s="18"/>
      <c r="J62" s="8"/>
      <c r="K62" s="8"/>
    </row>
    <row r="63" s="4" customFormat="1" spans="1:11">
      <c r="A63" s="15" t="s">
        <v>11012</v>
      </c>
      <c r="B63" s="15" t="s">
        <v>11078</v>
      </c>
      <c r="C63" s="5">
        <v>98.1</v>
      </c>
      <c r="D63" s="13" t="s">
        <v>11092</v>
      </c>
      <c r="E63" s="7">
        <v>25.51</v>
      </c>
      <c r="I63" s="18"/>
      <c r="J63" s="8"/>
      <c r="K63" s="8"/>
    </row>
    <row r="64" s="4" customFormat="1" spans="1:11">
      <c r="A64" s="15" t="s">
        <v>11012</v>
      </c>
      <c r="B64" s="15" t="s">
        <v>11078</v>
      </c>
      <c r="C64" s="5">
        <v>98.11</v>
      </c>
      <c r="D64" s="13" t="s">
        <v>11076</v>
      </c>
      <c r="E64" s="7">
        <v>27.27</v>
      </c>
      <c r="I64" s="18"/>
      <c r="J64" s="8"/>
      <c r="K64" s="8"/>
    </row>
    <row r="65" s="4" customFormat="1" spans="1:11">
      <c r="A65" s="15" t="s">
        <v>11012</v>
      </c>
      <c r="B65" s="15" t="s">
        <v>11078</v>
      </c>
      <c r="C65" s="5">
        <v>98.11</v>
      </c>
      <c r="D65" s="13" t="s">
        <v>11093</v>
      </c>
      <c r="E65" s="7">
        <v>28.26</v>
      </c>
      <c r="I65" s="18"/>
      <c r="J65" s="8"/>
      <c r="K65" s="8"/>
    </row>
    <row r="66" s="4" customFormat="1" spans="1:11">
      <c r="A66" s="15" t="s">
        <v>11012</v>
      </c>
      <c r="B66" s="15" t="s">
        <v>11078</v>
      </c>
      <c r="C66" s="5">
        <v>98.11</v>
      </c>
      <c r="D66" s="13" t="s">
        <v>11094</v>
      </c>
      <c r="E66" s="7">
        <v>29.92</v>
      </c>
      <c r="I66" s="18"/>
      <c r="J66" s="8"/>
      <c r="K66" s="8"/>
    </row>
    <row r="67" s="4" customFormat="1" spans="1:11">
      <c r="A67" s="15" t="s">
        <v>11012</v>
      </c>
      <c r="B67" s="15" t="s">
        <v>11078</v>
      </c>
      <c r="C67" s="5">
        <v>98.1</v>
      </c>
      <c r="D67" s="13" t="s">
        <v>11095</v>
      </c>
      <c r="E67" s="7">
        <v>31.69</v>
      </c>
      <c r="I67" s="18"/>
      <c r="J67" s="8"/>
      <c r="K67" s="8"/>
    </row>
    <row r="68" s="4" customFormat="1" spans="1:11">
      <c r="A68" s="15" t="s">
        <v>11012</v>
      </c>
      <c r="B68" s="15" t="s">
        <v>11078</v>
      </c>
      <c r="C68" s="5">
        <v>98.11</v>
      </c>
      <c r="D68" s="13" t="s">
        <v>11096</v>
      </c>
      <c r="E68" s="7">
        <v>33.11</v>
      </c>
      <c r="I68" s="18"/>
      <c r="J68" s="8"/>
      <c r="K68" s="8"/>
    </row>
    <row r="69" s="4" customFormat="1" spans="1:11">
      <c r="A69" s="15" t="s">
        <v>11012</v>
      </c>
      <c r="B69" s="15" t="s">
        <v>11078</v>
      </c>
      <c r="C69" s="5">
        <v>98.11</v>
      </c>
      <c r="D69" s="13" t="s">
        <v>11097</v>
      </c>
      <c r="E69" s="7">
        <v>34.29</v>
      </c>
      <c r="I69" s="18"/>
      <c r="J69" s="8"/>
      <c r="K69" s="8"/>
    </row>
    <row r="70" s="4" customFormat="1" spans="1:11">
      <c r="A70" s="15" t="s">
        <v>11012</v>
      </c>
      <c r="B70" s="15" t="s">
        <v>11078</v>
      </c>
      <c r="C70" s="5">
        <v>65.46</v>
      </c>
      <c r="D70" s="13" t="s">
        <v>11098</v>
      </c>
      <c r="E70" s="7">
        <v>24.12</v>
      </c>
      <c r="I70" s="18"/>
      <c r="J70" s="8"/>
      <c r="K70" s="8"/>
    </row>
    <row r="71" s="4" customFormat="1" spans="3:11">
      <c r="C71" s="5">
        <f>SUM(C2:C70)</f>
        <v>5707541.36</v>
      </c>
      <c r="D71" s="19"/>
      <c r="E71" s="7">
        <f>SUM(E2:E70)</f>
        <v>3003609.79</v>
      </c>
      <c r="I71" s="18"/>
      <c r="J71" s="8"/>
      <c r="K71" s="8"/>
    </row>
    <row r="72" s="4" customFormat="1" spans="3:11">
      <c r="C72" s="5"/>
      <c r="D72" s="6"/>
      <c r="E72" s="7"/>
      <c r="I72" s="18"/>
      <c r="J72" s="8"/>
      <c r="K72" s="8"/>
    </row>
    <row r="73" s="4" customFormat="1" spans="3:11">
      <c r="C73" s="5">
        <v>5707541.36</v>
      </c>
      <c r="D73" s="6"/>
      <c r="E73" s="7">
        <v>3003609.76</v>
      </c>
      <c r="I73" s="18"/>
      <c r="J73" s="8"/>
      <c r="K73" s="8"/>
    </row>
    <row r="74" s="4" customFormat="1" spans="3:11">
      <c r="C74" s="5"/>
      <c r="D74" s="6"/>
      <c r="E74" s="7"/>
      <c r="I74" s="18"/>
      <c r="J74" s="8"/>
      <c r="K74" s="8"/>
    </row>
    <row r="75" s="4" customFormat="1" spans="3:11">
      <c r="C75" s="5">
        <f>C73-C71</f>
        <v>0</v>
      </c>
      <c r="D75" s="6"/>
      <c r="E75" s="7">
        <f>E73-E71</f>
        <v>-0.0300000007264316</v>
      </c>
      <c r="I75" s="18"/>
      <c r="J75" s="8"/>
      <c r="K75" s="8"/>
    </row>
  </sheetData>
  <autoFilter ref="A1:K71">
    <extLst/>
  </autoFilter>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J14"/>
  <sheetViews>
    <sheetView workbookViewId="0">
      <selection activeCell="J14" sqref="J14"/>
    </sheetView>
  </sheetViews>
  <sheetFormatPr defaultColWidth="8.72727272727273" defaultRowHeight="14"/>
  <cols>
    <col min="4" max="4" width="8.72727272727273" style="1"/>
    <col min="5" max="5" width="15.1818181818182" style="2"/>
    <col min="7" max="7" width="21.8181818181818" customWidth="1"/>
  </cols>
  <sheetData>
    <row r="2" spans="4:8">
      <c r="D2" s="1" t="s">
        <v>11099</v>
      </c>
      <c r="E2" s="2" t="s">
        <v>9757</v>
      </c>
      <c r="G2" t="s">
        <v>10104</v>
      </c>
      <c r="H2" t="s">
        <v>11100</v>
      </c>
    </row>
    <row r="3" spans="2:8">
      <c r="B3" t="s">
        <v>2646</v>
      </c>
      <c r="C3" t="s">
        <v>10751</v>
      </c>
      <c r="D3" s="1">
        <v>43</v>
      </c>
      <c r="E3" s="2">
        <v>2101089</v>
      </c>
      <c r="G3" t="s">
        <v>10108</v>
      </c>
      <c r="H3" t="s">
        <v>11101</v>
      </c>
    </row>
    <row r="4" spans="3:8">
      <c r="C4" t="s">
        <v>11102</v>
      </c>
      <c r="D4" s="1">
        <v>91</v>
      </c>
      <c r="E4" s="2">
        <v>4418552</v>
      </c>
      <c r="G4" t="s">
        <v>10128</v>
      </c>
      <c r="H4" t="s">
        <v>11103</v>
      </c>
    </row>
    <row r="5" spans="4:8">
      <c r="D5" s="1">
        <f>SUM(D3:D4)</f>
        <v>134</v>
      </c>
      <c r="E5" s="2">
        <f>SUM(E3:E4)</f>
        <v>6519641</v>
      </c>
      <c r="G5" t="s">
        <v>11060</v>
      </c>
      <c r="H5" t="s">
        <v>11104</v>
      </c>
    </row>
    <row r="6" spans="7:8">
      <c r="G6" t="s">
        <v>9759</v>
      </c>
      <c r="H6" t="s">
        <v>11105</v>
      </c>
    </row>
    <row r="7" spans="7:8">
      <c r="G7" t="s">
        <v>11106</v>
      </c>
      <c r="H7" t="s">
        <v>11107</v>
      </c>
    </row>
    <row r="9" spans="7:7">
      <c r="G9" t="s">
        <v>11108</v>
      </c>
    </row>
    <row r="12" spans="4:10">
      <c r="D12" s="1" t="s">
        <v>11109</v>
      </c>
      <c r="F12" s="3" t="s">
        <v>11110</v>
      </c>
      <c r="G12" s="3"/>
      <c r="H12" s="3"/>
      <c r="I12" s="3"/>
      <c r="J12" s="3"/>
    </row>
    <row r="13" spans="2:6">
      <c r="B13" t="s">
        <v>11111</v>
      </c>
      <c r="C13" t="s">
        <v>9901</v>
      </c>
      <c r="D13" s="1" t="s">
        <v>11112</v>
      </c>
      <c r="F13" t="s">
        <v>11113</v>
      </c>
    </row>
    <row r="14" spans="6:6">
      <c r="F14" t="s">
        <v>11114</v>
      </c>
    </row>
  </sheetData>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18</vt:i4>
      </vt:variant>
    </vt:vector>
  </HeadingPairs>
  <TitlesOfParts>
    <vt:vector size="18" baseType="lpstr">
      <vt:lpstr>住宅</vt:lpstr>
      <vt:lpstr>车位</vt:lpstr>
      <vt:lpstr>商业盒子</vt:lpstr>
      <vt:lpstr>商铺</vt:lpstr>
      <vt:lpstr>地下商铺租赁 </vt:lpstr>
      <vt:lpstr>表1-工程及经营费用类</vt:lpstr>
      <vt:lpstr>工程费用 </vt:lpstr>
      <vt:lpstr>表2-金融借贷债权及房贷</vt:lpstr>
      <vt:lpstr>表3-民间借贷及其他债权</vt:lpstr>
      <vt:lpstr>表4-专项资金及村民过渡费</vt:lpstr>
      <vt:lpstr>表5-退房债权 </vt:lpstr>
      <vt:lpstr>表6-税费 </vt:lpstr>
      <vt:lpstr>申报债权统计</vt:lpstr>
      <vt:lpstr>Sheet3</vt:lpstr>
      <vt:lpstr>Sheet4</vt:lpstr>
      <vt:lpstr>统计</vt:lpstr>
      <vt:lpstr>税款明细 </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Xhj</cp:lastModifiedBy>
  <dcterms:created xsi:type="dcterms:W3CDTF">2022-09-25T09:47:00Z</dcterms:created>
  <dcterms:modified xsi:type="dcterms:W3CDTF">2022-12-06T12:39:26Z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D4BACDD036384CED8BB1890C0BCE632D</vt:lpwstr>
  </property>
  <property fmtid="{D5CDD505-2E9C-101B-9397-08002B2CF9AE}" pid="4" name="KSOReadingLayout">
    <vt:bool>false</vt:bool>
  </property>
</Properties>
</file>