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 activeTab="1"/>
  </bookViews>
  <sheets>
    <sheet name="收支总表" sheetId="1" r:id="rId1"/>
    <sheet name="汇总表" sheetId="2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<sst xmlns="http://schemas.openxmlformats.org/spreadsheetml/2006/main" count="76" uniqueCount="63">
  <si>
    <t>湖南大汉集团有限公司系列破产案收支表</t>
  </si>
  <si>
    <t>期间：破产接管-2025年12月31日</t>
  </si>
  <si>
    <t>单位：元</t>
  </si>
  <si>
    <t>类别</t>
  </si>
  <si>
    <t>公司</t>
  </si>
  <si>
    <t>资金来源/支出</t>
  </si>
  <si>
    <t>金额（单位：元）</t>
  </si>
  <si>
    <t>备注</t>
  </si>
  <si>
    <t>收入</t>
  </si>
  <si>
    <t>湖南大汉集团有限公司</t>
  </si>
  <si>
    <t>移交资金、利息收入</t>
  </si>
  <si>
    <t>常德财鑫融资担保有限公司让利款项</t>
  </si>
  <si>
    <t>湖南大汉起重科技有限公司</t>
  </si>
  <si>
    <t>移交资金、利息收入、拍卖款</t>
  </si>
  <si>
    <t>常德双猫粮食机械有限公司</t>
  </si>
  <si>
    <t>常德大汉机械科技有限公司</t>
  </si>
  <si>
    <t>移交资金</t>
  </si>
  <si>
    <t>津市大汉科技有限公司</t>
  </si>
  <si>
    <t>工程款让利款</t>
  </si>
  <si>
    <t>破产费用-抵押权人应承担</t>
  </si>
  <si>
    <t>常德汉昌粮食机械有限公司、常德大汉机械科技有限公司、湖南飞涛机械股份有限公司</t>
  </si>
  <si>
    <t>破产援助资金</t>
  </si>
  <si>
    <t>湖南大汉集团有限公司、湖南大汉起重科技有限公司、常德双猫粮食机械有限公司、津市大汉科技有限公司</t>
  </si>
  <si>
    <t>法院减免破产案件诉讼费</t>
  </si>
  <si>
    <t>评估费让利</t>
  </si>
  <si>
    <t>按照标准七折计算基础上，按五折收费让利金额。</t>
  </si>
  <si>
    <t>小计</t>
  </si>
  <si>
    <t>支出</t>
  </si>
  <si>
    <t>湖南大汉集团有限公司、湖南大汉起重科技有限公司、常德双猫粮食机械有限公司</t>
  </si>
  <si>
    <t>养老保险、失业保险、工伤保险、医疗保险</t>
  </si>
  <si>
    <t>人社局系统内常德中车新能源汽车有限公司挂账社保</t>
  </si>
  <si>
    <t>常德中车新能源汽车有限公司已垫付承担社保</t>
  </si>
  <si>
    <t>社保费用小计</t>
  </si>
  <si>
    <t>湖南大汉集团有限公司、湖南大汉起重科技有限公司、常德双猫粮食机械有限公司、津市大汉科技有限公司、常德汉昌粮食机械有限公司、常德大汉机械科技有限公司、湖南飞涛机械股份有限公司</t>
  </si>
  <si>
    <t>破产费用</t>
  </si>
  <si>
    <t>详见《湖南大汉集团有限公司系列破产案破产费用汇总表》</t>
  </si>
  <si>
    <t>剩余用于解决职工工资资金</t>
  </si>
  <si>
    <t>湖南大汉集团有限公司系列破产案破产费用汇总表</t>
  </si>
  <si>
    <t>序号</t>
  </si>
  <si>
    <t>项目</t>
  </si>
  <si>
    <t>常德汉昌粮食机械有限公司</t>
  </si>
  <si>
    <t>湖南飞涛机械股份有限公司</t>
  </si>
  <si>
    <t>合计</t>
  </si>
  <si>
    <t>差旅费</t>
  </si>
  <si>
    <t>邮电费</t>
  </si>
  <si>
    <t>会议费</t>
  </si>
  <si>
    <t>办公费</t>
  </si>
  <si>
    <r>
      <t>预留大汉集团后续费用合计</t>
    </r>
    <r>
      <rPr>
        <b/>
        <i/>
        <sz val="10"/>
        <color theme="1"/>
        <rFont val="宋体"/>
        <charset val="134"/>
        <scheme val="minor"/>
      </rPr>
      <t>154725.42</t>
    </r>
    <r>
      <rPr>
        <sz val="10"/>
        <color theme="1"/>
        <rFont val="宋体"/>
        <charset val="134"/>
        <scheme val="minor"/>
      </rPr>
      <t>元，预估起重后续费用</t>
    </r>
    <r>
      <rPr>
        <b/>
        <i/>
        <sz val="10"/>
        <color theme="1"/>
        <rFont val="宋体"/>
        <charset val="134"/>
        <scheme val="minor"/>
      </rPr>
      <t>6000</t>
    </r>
    <r>
      <rPr>
        <sz val="10"/>
        <color theme="1"/>
        <rFont val="宋体"/>
        <charset val="134"/>
        <scheme val="minor"/>
      </rPr>
      <t>元；预估双猫后续费用</t>
    </r>
    <r>
      <rPr>
        <b/>
        <i/>
        <sz val="10"/>
        <color theme="1"/>
        <rFont val="宋体"/>
        <charset val="134"/>
        <scheme val="minor"/>
      </rPr>
      <t>5000</t>
    </r>
    <r>
      <rPr>
        <sz val="10"/>
        <color theme="1"/>
        <rFont val="宋体"/>
        <charset val="134"/>
        <scheme val="minor"/>
      </rPr>
      <t>元。预估津市大汉后续费用</t>
    </r>
    <r>
      <rPr>
        <b/>
        <i/>
        <sz val="10"/>
        <color theme="1"/>
        <rFont val="宋体"/>
        <charset val="134"/>
        <scheme val="minor"/>
      </rPr>
      <t>23000</t>
    </r>
    <r>
      <rPr>
        <sz val="10"/>
        <color theme="1"/>
        <rFont val="宋体"/>
        <charset val="134"/>
        <scheme val="minor"/>
      </rPr>
      <t>元，税务滞纳金</t>
    </r>
    <r>
      <rPr>
        <b/>
        <i/>
        <sz val="10"/>
        <color theme="1"/>
        <rFont val="宋体"/>
        <charset val="134"/>
        <scheme val="minor"/>
      </rPr>
      <t>201546.28</t>
    </r>
    <r>
      <rPr>
        <sz val="10"/>
        <color theme="1"/>
        <rFont val="宋体"/>
        <charset val="134"/>
        <scheme val="minor"/>
      </rPr>
      <t>元。具体以实际发生为准。</t>
    </r>
  </si>
  <si>
    <t>其他费用</t>
  </si>
  <si>
    <t>财产管理费</t>
  </si>
  <si>
    <t>财产变价费</t>
  </si>
  <si>
    <t>聘请工作人员费用</t>
  </si>
  <si>
    <t>财务费用</t>
  </si>
  <si>
    <t>诉讼费</t>
  </si>
  <si>
    <t>评估费</t>
  </si>
  <si>
    <t>按照标准七折计算。</t>
  </si>
  <si>
    <t>审计费用</t>
  </si>
  <si>
    <t>预估后期破产费用审计费用。具体以实际发生为准。</t>
  </si>
  <si>
    <t>档案保管费</t>
  </si>
  <si>
    <t>预估后期档案移交保管费用。具体以实际发生为准。</t>
  </si>
  <si>
    <t>申请破产诉讼费</t>
  </si>
  <si>
    <t>衍生诉讼费</t>
  </si>
  <si>
    <t>管理人报酬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</si>
</sst>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 "/>
    <numFmt numFmtId="178" formatCode="0.00_);[Red]\(0.00\)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 applyProtection="1">
      <alignment horizontal="center" vertical="center" wrapText="1"/>
      <protection locked="0"/>
    </xf>
    <xf numFmtId="43" fontId="4" fillId="0" borderId="2" xfId="0" applyNumberFormat="1" applyFont="1" applyFill="1" applyBorder="1" applyAlignment="1" applyProtection="1">
      <alignment horizontal="right" vertical="center" wrapText="1"/>
      <protection hidden="1"/>
    </xf>
    <xf numFmtId="43" fontId="4" fillId="0" borderId="2" xfId="0" applyNumberFormat="1" applyFont="1" applyFill="1" applyBorder="1" applyAlignment="1" applyProtection="1">
      <alignment horizontal="right" vertical="center"/>
      <protection hidden="1"/>
    </xf>
    <xf numFmtId="43" fontId="3" fillId="0" borderId="2" xfId="0" applyNumberFormat="1" applyFont="1" applyFill="1" applyBorder="1" applyAlignment="1">
      <alignment horizontal="right"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43" fontId="3" fillId="0" borderId="2" xfId="0" applyNumberFormat="1" applyFont="1" applyBorder="1">
      <alignment vertical="center"/>
    </xf>
    <xf numFmtId="0" fontId="3" fillId="0" borderId="2" xfId="0" applyFont="1" applyBorder="1" applyAlignment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3" fontId="3" fillId="0" borderId="2" xfId="0" applyNumberFormat="1" applyFont="1" applyFill="1" applyBorder="1" applyAlignment="1">
      <alignment horizontal="right" vertical="center" wrapText="1"/>
    </xf>
    <xf numFmtId="43" fontId="0" fillId="0" borderId="0" xfId="0" applyNumberFormat="1">
      <alignment vertical="center"/>
    </xf>
    <xf numFmtId="43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43" fontId="0" fillId="0" borderId="2" xfId="0" applyNumberFormat="1" applyFill="1" applyBorder="1" applyAlignment="1">
      <alignment horizontal="center" vertical="center"/>
    </xf>
    <xf numFmtId="43" fontId="0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43" fontId="5" fillId="0" borderId="2" xfId="0" applyNumberFormat="1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0" fontId="0" fillId="0" borderId="10" xfId="0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horizontal="left" vertical="center"/>
    </xf>
    <xf numFmtId="0" fontId="0" fillId="0" borderId="11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178" fontId="0" fillId="0" borderId="0" xfId="0" applyNumberForma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26757;&#26230;&#23159;\Documents\xwechat_files\wxid_w7f80u27vzfq22_0ed3\msg\file\2026-01\&#22823;&#27721;&#30772;&#20135;&#36153;&#29992;&#21450;&#25253;&#37228;&#32479;&#35745;2025.5.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破产费用统计表（预估费用未分配版本）"/>
      <sheetName val="Sheet3"/>
      <sheetName val="府院协调会议确定报酬"/>
      <sheetName val="立案费测算"/>
      <sheetName val="按照法律标准10%核算（未加移交资金）"/>
      <sheetName val="按照10%测算报酬（管理人内部核算，未加移交资金）"/>
      <sheetName val="4.27破产费用"/>
      <sheetName val="管理人报酬（管理人内部核算，加上移交资金）"/>
      <sheetName val="管理人报酬（按照标准10%核算）"/>
      <sheetName val="管理人报酬，津市大汉工程款按照100%计算"/>
      <sheetName val="管理人报酬（按照收集资金计算）"/>
      <sheetName val="2025.12.10破产费用"/>
    </sheetNames>
    <sheetDataSet>
      <sheetData sheetId="0" refreshError="1"/>
      <sheetData sheetId="1" refreshError="1"/>
      <sheetData sheetId="2" refreshError="1"/>
      <sheetData sheetId="3">
        <row r="15">
          <cell r="C15">
            <v>105779.5</v>
          </cell>
        </row>
      </sheetData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"/>
  <sheetViews>
    <sheetView workbookViewId="0">
      <selection activeCell="D11" sqref="D11:D13"/>
    </sheetView>
  </sheetViews>
  <sheetFormatPr defaultColWidth="9" defaultRowHeight="13.5" outlineLevelCol="4"/>
  <cols>
    <col min="1" max="1" width="9" style="30"/>
    <col min="2" max="2" width="46.625" style="27" customWidth="1"/>
    <col min="3" max="3" width="32.25" style="31" customWidth="1"/>
    <col min="4" max="4" width="20.25" style="30" customWidth="1"/>
    <col min="5" max="5" width="49.625" style="31" customWidth="1"/>
    <col min="6" max="6" width="12.625" style="31" customWidth="1"/>
    <col min="7" max="16384" width="9" style="31"/>
  </cols>
  <sheetData>
    <row r="1" ht="30.75" customHeight="1" spans="1:5">
      <c r="A1" s="32" t="s">
        <v>0</v>
      </c>
      <c r="B1" s="33"/>
      <c r="C1" s="33"/>
      <c r="D1" s="33"/>
      <c r="E1" s="33"/>
    </row>
    <row r="2" ht="30.75" customHeight="1" spans="1:5">
      <c r="A2" s="34" t="s">
        <v>1</v>
      </c>
      <c r="B2" s="34"/>
      <c r="C2" s="34"/>
      <c r="D2" s="34"/>
      <c r="E2" s="35" t="s">
        <v>2</v>
      </c>
    </row>
    <row r="3" s="27" customFormat="1" ht="30" customHeight="1" spans="1:5">
      <c r="A3" s="36" t="s">
        <v>3</v>
      </c>
      <c r="B3" s="36" t="s">
        <v>4</v>
      </c>
      <c r="C3" s="36" t="s">
        <v>5</v>
      </c>
      <c r="D3" s="36" t="s">
        <v>6</v>
      </c>
      <c r="E3" s="36" t="s">
        <v>7</v>
      </c>
    </row>
    <row r="4" s="28" customFormat="1" ht="30" customHeight="1" spans="1:5">
      <c r="A4" s="36" t="s">
        <v>8</v>
      </c>
      <c r="B4" s="37" t="s">
        <v>9</v>
      </c>
      <c r="C4" s="38" t="s">
        <v>10</v>
      </c>
      <c r="D4" s="39">
        <f>433.09+12571.16+19.62+12.79</f>
        <v>13036.66</v>
      </c>
      <c r="E4" s="38"/>
    </row>
    <row r="5" s="28" customFormat="1" ht="30" customHeight="1" spans="1:5">
      <c r="A5" s="36"/>
      <c r="B5" s="37"/>
      <c r="C5" s="38" t="s">
        <v>11</v>
      </c>
      <c r="D5" s="39">
        <v>5000000</v>
      </c>
      <c r="E5" s="38"/>
    </row>
    <row r="6" s="28" customFormat="1" ht="30" customHeight="1" spans="1:5">
      <c r="A6" s="36"/>
      <c r="B6" s="37" t="s">
        <v>12</v>
      </c>
      <c r="C6" s="38" t="s">
        <v>13</v>
      </c>
      <c r="D6" s="39">
        <f>467.82+2272401.39+83.04+42.43</f>
        <v>2272994.68</v>
      </c>
      <c r="E6" s="38"/>
    </row>
    <row r="7" s="28" customFormat="1" ht="30" customHeight="1" spans="1:5">
      <c r="A7" s="36"/>
      <c r="B7" s="37" t="s">
        <v>14</v>
      </c>
      <c r="C7" s="38" t="s">
        <v>13</v>
      </c>
      <c r="D7" s="39">
        <f>267.6+1270556.57+42.51+20.52</f>
        <v>1270887.2</v>
      </c>
      <c r="E7" s="38"/>
    </row>
    <row r="8" s="28" customFormat="1" ht="30" customHeight="1" spans="1:5">
      <c r="A8" s="36"/>
      <c r="B8" s="36" t="s">
        <v>15</v>
      </c>
      <c r="C8" s="38" t="s">
        <v>16</v>
      </c>
      <c r="D8" s="39">
        <v>2171.76</v>
      </c>
      <c r="E8" s="38"/>
    </row>
    <row r="9" s="28" customFormat="1" ht="30" customHeight="1" spans="1:5">
      <c r="A9" s="36"/>
      <c r="B9" s="36" t="s">
        <v>17</v>
      </c>
      <c r="C9" s="38" t="s">
        <v>18</v>
      </c>
      <c r="D9" s="40">
        <v>4005798.1005001</v>
      </c>
      <c r="E9" s="38"/>
    </row>
    <row r="10" s="28" customFormat="1" ht="30" customHeight="1" spans="1:5">
      <c r="A10" s="36"/>
      <c r="B10" s="36"/>
      <c r="C10" s="38" t="s">
        <v>19</v>
      </c>
      <c r="D10" s="39">
        <v>3864269.38309646</v>
      </c>
      <c r="E10" s="38"/>
    </row>
    <row r="11" s="28" customFormat="1" ht="36.75" customHeight="1" spans="1:5">
      <c r="A11" s="36"/>
      <c r="B11" s="37" t="s">
        <v>20</v>
      </c>
      <c r="C11" s="38" t="s">
        <v>21</v>
      </c>
      <c r="D11" s="39">
        <f>52230+50030+51571</f>
        <v>153831</v>
      </c>
      <c r="E11" s="38"/>
    </row>
    <row r="12" s="28" customFormat="1" ht="36" customHeight="1" spans="1:5">
      <c r="A12" s="36"/>
      <c r="B12" s="37" t="s">
        <v>22</v>
      </c>
      <c r="C12" s="38" t="s">
        <v>23</v>
      </c>
      <c r="D12" s="39">
        <v>251757.11</v>
      </c>
      <c r="E12" s="41"/>
    </row>
    <row r="13" s="28" customFormat="1" ht="44.25" customHeight="1" spans="1:5">
      <c r="A13" s="36"/>
      <c r="B13" s="37" t="s">
        <v>22</v>
      </c>
      <c r="C13" s="38" t="s">
        <v>24</v>
      </c>
      <c r="D13" s="39">
        <v>243135.61</v>
      </c>
      <c r="E13" s="38" t="s">
        <v>25</v>
      </c>
    </row>
    <row r="14" s="28" customFormat="1" ht="30" customHeight="1" spans="1:5">
      <c r="A14" s="36"/>
      <c r="B14" s="42" t="s">
        <v>26</v>
      </c>
      <c r="C14" s="43"/>
      <c r="D14" s="39">
        <f>SUM(D4:D13)</f>
        <v>17077881.5035966</v>
      </c>
      <c r="E14" s="44"/>
    </row>
    <row r="15" s="28" customFormat="1" ht="30" customHeight="1" spans="1:5">
      <c r="A15" s="45" t="s">
        <v>27</v>
      </c>
      <c r="B15" s="46" t="s">
        <v>28</v>
      </c>
      <c r="C15" s="44" t="s">
        <v>29</v>
      </c>
      <c r="D15" s="39">
        <v>8656479.17</v>
      </c>
      <c r="E15" s="38"/>
    </row>
    <row r="16" s="28" customFormat="1" ht="30" customHeight="1" spans="1:5">
      <c r="A16" s="47"/>
      <c r="B16" s="48"/>
      <c r="C16" s="49" t="s">
        <v>30</v>
      </c>
      <c r="D16" s="39">
        <v>1389789.4</v>
      </c>
      <c r="E16" s="38"/>
    </row>
    <row r="17" s="28" customFormat="1" ht="30" customHeight="1" spans="1:5">
      <c r="A17" s="47"/>
      <c r="B17" s="48"/>
      <c r="C17" s="50" t="s">
        <v>31</v>
      </c>
      <c r="D17" s="51">
        <v>496463</v>
      </c>
      <c r="E17" s="41"/>
    </row>
    <row r="18" s="28" customFormat="1" ht="30" customHeight="1" spans="1:5">
      <c r="A18" s="47"/>
      <c r="B18" s="52"/>
      <c r="C18" s="38" t="s">
        <v>32</v>
      </c>
      <c r="D18" s="39">
        <f>SUM(D15:D17)</f>
        <v>10542731.57</v>
      </c>
      <c r="E18" s="38"/>
    </row>
    <row r="19" s="29" customFormat="1" ht="54.75" customHeight="1" spans="1:5">
      <c r="A19" s="47"/>
      <c r="B19" s="53" t="s">
        <v>33</v>
      </c>
      <c r="C19" s="54" t="s">
        <v>34</v>
      </c>
      <c r="D19" s="51">
        <f>汇总表!J22</f>
        <v>5764113.79309645</v>
      </c>
      <c r="E19" s="55" t="s">
        <v>35</v>
      </c>
    </row>
    <row r="20" s="28" customFormat="1" ht="30" customHeight="1" spans="1:5">
      <c r="A20" s="56"/>
      <c r="B20" s="42" t="s">
        <v>26</v>
      </c>
      <c r="C20" s="43"/>
      <c r="D20" s="39">
        <f>+D19+D18</f>
        <v>16306845.3630965</v>
      </c>
      <c r="E20" s="57"/>
    </row>
    <row r="21" s="28" customFormat="1" ht="38.25" customHeight="1" spans="1:5">
      <c r="A21" s="58" t="s">
        <v>36</v>
      </c>
      <c r="B21" s="59"/>
      <c r="C21" s="60"/>
      <c r="D21" s="39">
        <f>+D14-D20</f>
        <v>771036.1405001</v>
      </c>
      <c r="E21" s="41"/>
    </row>
    <row r="22" ht="30" customHeight="1"/>
    <row r="23" ht="21.75" customHeight="1" spans="1:5">
      <c r="D23" s="61"/>
    </row>
    <row r="24" ht="21.75" customHeight="1" spans="1:5">
      <c r="D24" s="61"/>
    </row>
  </sheetData>
  <mergeCells count="10">
    <mergeCell ref="A1:E1"/>
    <mergeCell ref="A2:D2"/>
    <mergeCell ref="B14:C14"/>
    <mergeCell ref="B20:C20"/>
    <mergeCell ref="A21:C21"/>
    <mergeCell ref="A4:A14"/>
    <mergeCell ref="A15:A20"/>
    <mergeCell ref="B4:B5"/>
    <mergeCell ref="B9:B10"/>
    <mergeCell ref="B15:B18"/>
  </mergeCells>
  <pageMargins left="0.7" right="0.7" top="0.75" bottom="0.75" header="0.3" footer="0.3"/>
  <pageSetup paperSize="9" scale="6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K22" sqref="A3:K22"/>
    </sheetView>
  </sheetViews>
  <sheetFormatPr defaultColWidth="9" defaultRowHeight="24.95" customHeight="1"/>
  <cols>
    <col min="1" max="1" width="5.125" style="3" customWidth="1"/>
    <col min="2" max="2" width="17" style="1" customWidth="1"/>
    <col min="3" max="3" width="17" style="4" customWidth="1"/>
    <col min="4" max="4" width="12.625" style="5" customWidth="1"/>
    <col min="5" max="5" width="13.125" style="5" customWidth="1"/>
    <col min="6" max="6" width="13" style="5" customWidth="1"/>
    <col min="7" max="7" width="13.875" style="5" customWidth="1"/>
    <col min="8" max="8" width="14" style="5" customWidth="1"/>
    <col min="9" max="9" width="18" style="5" customWidth="1"/>
    <col min="10" max="10" width="16.375" style="5" customWidth="1"/>
    <col min="11" max="11" width="54" style="6" customWidth="1"/>
    <col min="12" max="13" width="13.875" customWidth="1"/>
  </cols>
  <sheetData>
    <row r="1" customHeight="1" spans="1:14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30" customHeight="1" spans="1:14">
      <c r="A2" s="8"/>
      <c r="B2" s="9" t="s">
        <v>1</v>
      </c>
      <c r="C2" s="9"/>
      <c r="D2" s="9"/>
      <c r="E2" s="9"/>
      <c r="F2" s="9"/>
      <c r="G2" s="9"/>
      <c r="H2" s="9"/>
      <c r="I2" s="9"/>
      <c r="J2" s="9"/>
      <c r="K2" s="10" t="s">
        <v>2</v>
      </c>
    </row>
    <row r="3" s="1" customFormat="1" ht="30" customHeight="1" spans="1:14">
      <c r="A3" s="11" t="s">
        <v>38</v>
      </c>
      <c r="B3" s="11" t="s">
        <v>39</v>
      </c>
      <c r="C3" s="11" t="s">
        <v>9</v>
      </c>
      <c r="D3" s="11" t="s">
        <v>40</v>
      </c>
      <c r="E3" s="11" t="s">
        <v>15</v>
      </c>
      <c r="F3" s="11" t="s">
        <v>41</v>
      </c>
      <c r="G3" s="11" t="s">
        <v>12</v>
      </c>
      <c r="H3" s="11" t="s">
        <v>14</v>
      </c>
      <c r="I3" s="11" t="s">
        <v>17</v>
      </c>
      <c r="J3" s="11" t="s">
        <v>42</v>
      </c>
      <c r="K3" s="12" t="s">
        <v>7</v>
      </c>
    </row>
    <row r="4" s="1" customFormat="1" ht="30" customHeight="1" spans="1:14">
      <c r="A4" s="11"/>
      <c r="B4" s="11"/>
      <c r="C4" s="11"/>
      <c r="D4" s="11"/>
      <c r="E4" s="11"/>
      <c r="F4" s="11"/>
      <c r="G4" s="11"/>
      <c r="H4" s="11"/>
      <c r="I4" s="11"/>
      <c r="J4" s="11"/>
      <c r="K4" s="12"/>
    </row>
    <row r="5" ht="30" customHeight="1" spans="1:14">
      <c r="A5" s="13">
        <v>1</v>
      </c>
      <c r="B5" s="14" t="s">
        <v>43</v>
      </c>
      <c r="C5" s="15">
        <v>1831.31</v>
      </c>
      <c r="D5" s="16">
        <v>0</v>
      </c>
      <c r="E5" s="16">
        <v>0</v>
      </c>
      <c r="F5" s="16">
        <v>0</v>
      </c>
      <c r="G5" s="17">
        <v>0</v>
      </c>
      <c r="H5" s="17">
        <v>0</v>
      </c>
      <c r="I5" s="17">
        <v>2725.95</v>
      </c>
      <c r="J5" s="17">
        <f>SUM(C5:I5)</f>
        <v>4557.26</v>
      </c>
      <c r="K5" s="12"/>
      <c r="M5" s="18"/>
      <c r="N5" s="19"/>
    </row>
    <row r="6" ht="30" customHeight="1" spans="1:14">
      <c r="A6" s="13">
        <v>2</v>
      </c>
      <c r="B6" s="14" t="s">
        <v>44</v>
      </c>
      <c r="C6" s="20">
        <f>311+12</f>
        <v>323</v>
      </c>
      <c r="D6" s="16">
        <v>0</v>
      </c>
      <c r="E6" s="16">
        <v>0</v>
      </c>
      <c r="F6" s="16">
        <v>0</v>
      </c>
      <c r="G6" s="17">
        <f>15+135.84</f>
        <v>150.84</v>
      </c>
      <c r="H6" s="17">
        <v>153</v>
      </c>
      <c r="I6" s="17">
        <v>119</v>
      </c>
      <c r="J6" s="17">
        <f t="shared" ref="J6:J22" si="0">SUM(C6:I6)</f>
        <v>745.84</v>
      </c>
      <c r="K6" s="21"/>
      <c r="M6" s="18"/>
      <c r="N6" s="19"/>
    </row>
    <row r="7" ht="30" customHeight="1" spans="1:14">
      <c r="A7" s="13">
        <v>3</v>
      </c>
      <c r="B7" s="14" t="s">
        <v>45</v>
      </c>
      <c r="C7" s="15">
        <v>8139</v>
      </c>
      <c r="D7" s="16">
        <v>1541</v>
      </c>
      <c r="E7" s="16">
        <v>1210</v>
      </c>
      <c r="F7" s="16">
        <v>0</v>
      </c>
      <c r="G7" s="17">
        <v>8785</v>
      </c>
      <c r="H7" s="17">
        <v>5057</v>
      </c>
      <c r="I7" s="17">
        <f>5170.8</f>
        <v>5170.8</v>
      </c>
      <c r="J7" s="17">
        <f t="shared" si="0"/>
        <v>29902.8</v>
      </c>
      <c r="K7" s="21"/>
      <c r="M7" s="18"/>
      <c r="N7" s="19"/>
    </row>
    <row r="8" ht="46" customHeight="1" spans="1:14">
      <c r="A8" s="13">
        <v>4</v>
      </c>
      <c r="B8" s="14" t="s">
        <v>46</v>
      </c>
      <c r="C8" s="15">
        <f>70000+70394.02-30+84725.42</f>
        <v>225089.44</v>
      </c>
      <c r="D8" s="16">
        <v>30</v>
      </c>
      <c r="E8" s="16">
        <v>1020</v>
      </c>
      <c r="F8" s="16">
        <v>30</v>
      </c>
      <c r="G8" s="17">
        <f>6000+3918.17</f>
        <v>9918.17</v>
      </c>
      <c r="H8" s="17">
        <f>5000+4392.26</f>
        <v>9392.26</v>
      </c>
      <c r="I8" s="17">
        <f>201546.28+23000+2957.58</f>
        <v>227503.86</v>
      </c>
      <c r="J8" s="17">
        <f t="shared" si="0"/>
        <v>472983.73</v>
      </c>
      <c r="K8" s="21" t="s">
        <v>47</v>
      </c>
      <c r="M8" s="18"/>
      <c r="N8" s="19"/>
    </row>
    <row r="9" ht="30" customHeight="1" spans="1:14">
      <c r="A9" s="13">
        <v>5</v>
      </c>
      <c r="B9" s="14" t="s">
        <v>48</v>
      </c>
      <c r="C9" s="15">
        <v>1100</v>
      </c>
      <c r="D9" s="16">
        <v>0</v>
      </c>
      <c r="E9" s="16">
        <v>0</v>
      </c>
      <c r="F9" s="16">
        <v>0</v>
      </c>
      <c r="G9" s="17">
        <v>1060</v>
      </c>
      <c r="H9" s="17">
        <v>280</v>
      </c>
      <c r="I9" s="17">
        <v>900</v>
      </c>
      <c r="J9" s="17">
        <f t="shared" si="0"/>
        <v>3340</v>
      </c>
      <c r="K9" s="21"/>
      <c r="M9" s="18"/>
      <c r="N9" s="19"/>
    </row>
    <row r="10" ht="30" customHeight="1" spans="1:14">
      <c r="A10" s="13">
        <v>6</v>
      </c>
      <c r="B10" s="14" t="s">
        <v>49</v>
      </c>
      <c r="C10" s="15">
        <v>0</v>
      </c>
      <c r="D10" s="16">
        <v>0</v>
      </c>
      <c r="E10" s="16">
        <v>0</v>
      </c>
      <c r="F10" s="16">
        <v>0</v>
      </c>
      <c r="G10" s="17">
        <v>96</v>
      </c>
      <c r="H10" s="17">
        <v>0</v>
      </c>
      <c r="I10" s="17">
        <v>688142.26</v>
      </c>
      <c r="J10" s="17">
        <f t="shared" si="0"/>
        <v>688238.26</v>
      </c>
      <c r="K10" s="21"/>
      <c r="M10" s="18"/>
      <c r="N10" s="19"/>
    </row>
    <row r="11" ht="30" customHeight="1" spans="1:14">
      <c r="A11" s="13">
        <v>7</v>
      </c>
      <c r="B11" s="14" t="s">
        <v>50</v>
      </c>
      <c r="C11" s="15">
        <f>443+8487.95</f>
        <v>8930.95</v>
      </c>
      <c r="D11" s="16">
        <v>0</v>
      </c>
      <c r="E11" s="16">
        <v>0</v>
      </c>
      <c r="F11" s="16">
        <v>0</v>
      </c>
      <c r="G11" s="17">
        <v>1037.5</v>
      </c>
      <c r="H11" s="17">
        <v>2517.5</v>
      </c>
      <c r="I11" s="17">
        <f>2384822.82+450</f>
        <v>2385272.82</v>
      </c>
      <c r="J11" s="17">
        <f t="shared" si="0"/>
        <v>2397758.77</v>
      </c>
      <c r="K11" s="21"/>
      <c r="M11" s="18"/>
      <c r="N11" s="19"/>
    </row>
    <row r="12" ht="30" customHeight="1" spans="1:14">
      <c r="A12" s="13">
        <v>8</v>
      </c>
      <c r="B12" s="14" t="s">
        <v>51</v>
      </c>
      <c r="C12" s="15">
        <v>196000</v>
      </c>
      <c r="D12" s="16">
        <v>0</v>
      </c>
      <c r="E12" s="16">
        <v>0</v>
      </c>
      <c r="F12" s="16">
        <v>0</v>
      </c>
      <c r="G12" s="17">
        <v>0</v>
      </c>
      <c r="H12" s="17">
        <v>0</v>
      </c>
      <c r="I12" s="17">
        <v>0</v>
      </c>
      <c r="J12" s="17">
        <f t="shared" si="0"/>
        <v>196000</v>
      </c>
      <c r="K12" s="21"/>
      <c r="M12" s="18"/>
      <c r="N12" s="19"/>
    </row>
    <row r="13" ht="30" customHeight="1" spans="1:14">
      <c r="A13" s="13">
        <v>9</v>
      </c>
      <c r="B13" s="14" t="s">
        <v>52</v>
      </c>
      <c r="C13" s="15">
        <v>5246.8</v>
      </c>
      <c r="D13" s="17"/>
      <c r="E13" s="16">
        <v>0</v>
      </c>
      <c r="F13" s="16">
        <v>0</v>
      </c>
      <c r="G13" s="17">
        <v>5063.5</v>
      </c>
      <c r="H13" s="17">
        <v>4842</v>
      </c>
      <c r="I13" s="17"/>
      <c r="J13" s="17">
        <f t="shared" si="0"/>
        <v>15152.3</v>
      </c>
      <c r="K13" s="21"/>
      <c r="M13" s="18"/>
      <c r="N13" s="19"/>
    </row>
    <row r="14" ht="30" customHeight="1" spans="1:14">
      <c r="A14" s="13">
        <v>10</v>
      </c>
      <c r="B14" s="14" t="s">
        <v>53</v>
      </c>
      <c r="C14" s="15">
        <v>9369</v>
      </c>
      <c r="D14" s="17"/>
      <c r="E14" s="16"/>
      <c r="F14" s="16"/>
      <c r="G14" s="17"/>
      <c r="H14" s="17"/>
      <c r="I14" s="17"/>
      <c r="J14" s="17">
        <f t="shared" si="0"/>
        <v>9369</v>
      </c>
      <c r="K14" s="21"/>
      <c r="M14" s="18"/>
      <c r="N14" s="19"/>
    </row>
    <row r="15" ht="30" customHeight="1" spans="1:14">
      <c r="A15" s="13">
        <v>11</v>
      </c>
      <c r="B15" s="22" t="s">
        <v>54</v>
      </c>
      <c r="C15" s="23">
        <f>48921+249200+13732+17792+136645.97</f>
        <v>466290.97</v>
      </c>
      <c r="D15" s="17"/>
      <c r="E15" s="17"/>
      <c r="F15" s="17"/>
      <c r="G15" s="17">
        <f>11333+73016.69</f>
        <v>84349.69</v>
      </c>
      <c r="H15" s="17">
        <f>62323</f>
        <v>62323</v>
      </c>
      <c r="I15" s="17">
        <f>98525+139486</f>
        <v>238011</v>
      </c>
      <c r="J15" s="17">
        <f t="shared" si="0"/>
        <v>850974.66</v>
      </c>
      <c r="K15" s="21" t="s">
        <v>55</v>
      </c>
      <c r="L15" s="24"/>
      <c r="M15" s="18"/>
      <c r="N15" s="19"/>
    </row>
    <row r="16" ht="30" customHeight="1" spans="1:14">
      <c r="A16" s="13">
        <v>12</v>
      </c>
      <c r="B16" s="22" t="s">
        <v>56</v>
      </c>
      <c r="C16" s="23">
        <v>10000</v>
      </c>
      <c r="D16" s="17"/>
      <c r="E16" s="17"/>
      <c r="F16" s="17">
        <v>0</v>
      </c>
      <c r="G16" s="17">
        <v>10000</v>
      </c>
      <c r="H16" s="17">
        <v>10000</v>
      </c>
      <c r="I16" s="17">
        <v>10000</v>
      </c>
      <c r="J16" s="17">
        <f t="shared" si="0"/>
        <v>40000</v>
      </c>
      <c r="K16" s="21" t="s">
        <v>57</v>
      </c>
      <c r="L16" s="24"/>
      <c r="M16" s="18"/>
      <c r="N16" s="19"/>
    </row>
    <row r="17" ht="30" customHeight="1" spans="1:14">
      <c r="A17" s="13">
        <v>13</v>
      </c>
      <c r="B17" s="22" t="s">
        <v>58</v>
      </c>
      <c r="C17" s="23">
        <v>9375</v>
      </c>
      <c r="D17" s="17">
        <v>1875</v>
      </c>
      <c r="E17" s="17">
        <v>1875</v>
      </c>
      <c r="F17" s="17">
        <v>0</v>
      </c>
      <c r="G17" s="17">
        <v>5625</v>
      </c>
      <c r="H17" s="17">
        <v>5625</v>
      </c>
      <c r="I17" s="17">
        <v>5625</v>
      </c>
      <c r="J17" s="17">
        <f t="shared" si="0"/>
        <v>30000</v>
      </c>
      <c r="K17" s="21" t="s">
        <v>59</v>
      </c>
      <c r="M17" s="18"/>
      <c r="N17" s="19"/>
    </row>
    <row r="18" ht="30" customHeight="1" spans="1:14">
      <c r="A18" s="13">
        <v>14</v>
      </c>
      <c r="B18" s="22" t="s">
        <v>60</v>
      </c>
      <c r="C18" s="23">
        <f>[1]立案费测算!C15</f>
        <v>105779.5</v>
      </c>
      <c r="D18" s="17"/>
      <c r="E18" s="17"/>
      <c r="F18" s="17"/>
      <c r="G18" s="17">
        <v>12337.76</v>
      </c>
      <c r="H18" s="17">
        <v>7832.41</v>
      </c>
      <c r="I18" s="17">
        <v>76179.359925</v>
      </c>
      <c r="J18" s="17">
        <f t="shared" si="0"/>
        <v>202129.029925</v>
      </c>
      <c r="K18" s="21"/>
      <c r="M18" s="18"/>
      <c r="N18" s="19"/>
    </row>
    <row r="19" ht="30" customHeight="1" spans="1:14">
      <c r="A19" s="13">
        <v>15</v>
      </c>
      <c r="B19" s="22" t="s">
        <v>61</v>
      </c>
      <c r="C19" s="23">
        <f>33120+16508.08</f>
        <v>49628.08</v>
      </c>
      <c r="D19" s="17"/>
      <c r="E19" s="17"/>
      <c r="F19" s="17"/>
      <c r="G19" s="17"/>
      <c r="H19" s="17"/>
      <c r="I19" s="17"/>
      <c r="J19" s="17">
        <f t="shared" si="0"/>
        <v>49628.08</v>
      </c>
      <c r="K19" s="21"/>
      <c r="N19" s="19"/>
    </row>
    <row r="20" ht="30" customHeight="1" spans="1:14">
      <c r="A20" s="13">
        <v>16</v>
      </c>
      <c r="B20" s="22" t="s">
        <v>26</v>
      </c>
      <c r="C20" s="25">
        <f>SUM(C5:C19)</f>
        <v>1097103.05</v>
      </c>
      <c r="D20" s="25">
        <f t="shared" ref="D20:J20" si="1">SUM(D5:D19)</f>
        <v>3446</v>
      </c>
      <c r="E20" s="25">
        <f t="shared" si="1"/>
        <v>4105</v>
      </c>
      <c r="F20" s="25">
        <f t="shared" si="1"/>
        <v>30</v>
      </c>
      <c r="G20" s="25">
        <f t="shared" si="1"/>
        <v>138423.46</v>
      </c>
      <c r="H20" s="25">
        <f t="shared" si="1"/>
        <v>108022.17</v>
      </c>
      <c r="I20" s="25">
        <f t="shared" si="1"/>
        <v>3639650.049925</v>
      </c>
      <c r="J20" s="25">
        <f t="shared" si="1"/>
        <v>4990779.729925</v>
      </c>
      <c r="K20" s="21"/>
      <c r="N20" s="19"/>
    </row>
    <row r="21" s="2" customFormat="1" ht="30" customHeight="1" spans="1:14">
      <c r="A21" s="13">
        <v>17</v>
      </c>
      <c r="B21" s="12" t="s">
        <v>62</v>
      </c>
      <c r="C21" s="23">
        <v>237219.3392</v>
      </c>
      <c r="D21" s="23">
        <v>30000</v>
      </c>
      <c r="E21" s="23">
        <v>30000</v>
      </c>
      <c r="F21" s="23">
        <v>30000</v>
      </c>
      <c r="G21" s="23">
        <v>74439.7338</v>
      </c>
      <c r="H21" s="23">
        <v>147055.657</v>
      </c>
      <c r="I21" s="23">
        <v>224619.333171455</v>
      </c>
      <c r="J21" s="17">
        <f>SUM(C21:I21)</f>
        <v>773334.063171455</v>
      </c>
      <c r="K21" s="26"/>
    </row>
    <row r="22" ht="30" customHeight="1" spans="1:14">
      <c r="A22" s="13">
        <v>18</v>
      </c>
      <c r="B22" s="11" t="s">
        <v>42</v>
      </c>
      <c r="C22" s="25">
        <f>+C21+C20</f>
        <v>1334322.3892</v>
      </c>
      <c r="D22" s="25">
        <f t="shared" ref="D22:I22" si="2">+D21+D20</f>
        <v>33446</v>
      </c>
      <c r="E22" s="25">
        <f t="shared" si="2"/>
        <v>34105</v>
      </c>
      <c r="F22" s="25">
        <f t="shared" si="2"/>
        <v>30030</v>
      </c>
      <c r="G22" s="25">
        <f t="shared" si="2"/>
        <v>212863.1938</v>
      </c>
      <c r="H22" s="25">
        <f t="shared" si="2"/>
        <v>255077.827</v>
      </c>
      <c r="I22" s="25">
        <f t="shared" si="2"/>
        <v>3864269.38309646</v>
      </c>
      <c r="J22" s="17">
        <f t="shared" si="0"/>
        <v>5764113.79309645</v>
      </c>
      <c r="K22" s="21"/>
    </row>
  </sheetData>
  <mergeCells count="13">
    <mergeCell ref="A1:K1"/>
    <mergeCell ref="B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196850393700787" right="0.196850393700787" top="0.511805555555556" bottom="0.196850393700787" header="0.31496062992126" footer="0.31496062992126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收支总表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ღ是梅梅呀</cp:lastModifiedBy>
  <dcterms:created xsi:type="dcterms:W3CDTF">2025-12-10T08:25:00Z</dcterms:created>
  <cp:lastPrinted>2026-01-04T09:56:00Z</cp:lastPrinted>
  <dcterms:modified xsi:type="dcterms:W3CDTF">2026-01-06T01:58:24Z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3D95D19569BA49FCB0BE24F8B549FDF7_13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